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12" windowWidth="11952" windowHeight="11988" tabRatio="841" activeTab="1"/>
  </bookViews>
  <sheets>
    <sheet name="READ ME" sheetId="27" r:id="rId1"/>
    <sheet name="Sheet1" sheetId="23" r:id="rId2"/>
    <sheet name="Base Material Data" sheetId="26" r:id="rId3"/>
    <sheet name="NAME LIST" sheetId="28" r:id="rId4"/>
  </sheets>
  <externalReferences>
    <externalReference r:id="rId5"/>
  </externalReferences>
  <definedNames>
    <definedName name="MAT">'Base Material Data'!$D$7:$AT$162</definedName>
    <definedName name="MATLIST">'NAME LIST'!$B$2:$B$169</definedName>
    <definedName name="_xlnm.Print_Area" localSheetId="2">'Base Material Data'!$D$6:$AE$162</definedName>
    <definedName name="_xlnm.Print_Area" localSheetId="0">'READ ME'!$A$8:$K$62</definedName>
    <definedName name="_xlnm.Print_Area" localSheetId="1">Sheet1!$A$8:$K$564</definedName>
    <definedName name="_xlnm.Print_Area">#REF!</definedName>
    <definedName name="_xlnm.Print_Titles" localSheetId="2">'Base Material Data'!$1:$5</definedName>
    <definedName name="sencount" hidden="1">1</definedName>
  </definedNames>
  <calcPr calcId="171027" iterate="1" iterateCount="10"/>
</workbook>
</file>

<file path=xl/calcChain.xml><?xml version="1.0" encoding="utf-8"?>
<calcChain xmlns="http://schemas.openxmlformats.org/spreadsheetml/2006/main">
  <c r="G18" i="23" l="1"/>
  <c r="V18" i="23" l="1"/>
  <c r="A3" i="28"/>
  <c r="A4" i="28"/>
  <c r="A5" i="28"/>
  <c r="A6" i="28"/>
  <c r="A7" i="28"/>
  <c r="A8" i="28"/>
  <c r="A9" i="28"/>
  <c r="A10" i="28"/>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2" i="28"/>
  <c r="B3" i="28"/>
  <c r="B4" i="28"/>
  <c r="B5" i="28"/>
  <c r="B6" i="28"/>
  <c r="B7" i="28"/>
  <c r="B8" i="28"/>
  <c r="B9" i="28"/>
  <c r="B10" i="28"/>
  <c r="B11" i="28"/>
  <c r="B12" i="28"/>
  <c r="B13" i="28"/>
  <c r="B14" i="28"/>
  <c r="B15"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104" i="28"/>
  <c r="B105" i="28"/>
  <c r="B106" i="28"/>
  <c r="B107" i="28"/>
  <c r="B108" i="28"/>
  <c r="B109" i="28"/>
  <c r="B110" i="28"/>
  <c r="B111" i="28"/>
  <c r="B112" i="28"/>
  <c r="B113" i="28"/>
  <c r="B114" i="28"/>
  <c r="B115" i="28"/>
  <c r="B116" i="28"/>
  <c r="B117" i="28"/>
  <c r="B118" i="28"/>
  <c r="B119" i="28"/>
  <c r="B120" i="28"/>
  <c r="B121" i="28"/>
  <c r="B122" i="28"/>
  <c r="B123" i="28"/>
  <c r="B124" i="28"/>
  <c r="B125" i="28"/>
  <c r="B126" i="28"/>
  <c r="B127" i="28"/>
  <c r="B128" i="28"/>
  <c r="B129" i="28"/>
  <c r="B130" i="28"/>
  <c r="B131" i="28"/>
  <c r="B132" i="28"/>
  <c r="B133" i="28"/>
  <c r="B134" i="28"/>
  <c r="B135" i="28"/>
  <c r="B136" i="28"/>
  <c r="B137" i="28"/>
  <c r="B138" i="28"/>
  <c r="B139" i="28"/>
  <c r="B140" i="28"/>
  <c r="B141" i="28"/>
  <c r="B142" i="28"/>
  <c r="B143" i="28"/>
  <c r="B144" i="28"/>
  <c r="B145" i="28"/>
  <c r="B146" i="28"/>
  <c r="B147" i="28"/>
  <c r="B148" i="28"/>
  <c r="B149" i="28"/>
  <c r="B150" i="28"/>
  <c r="B151" i="28"/>
  <c r="B152" i="28"/>
  <c r="B153" i="28"/>
  <c r="B154" i="28"/>
  <c r="B155" i="28"/>
  <c r="B156" i="28"/>
  <c r="B157" i="28"/>
  <c r="B158" i="28"/>
  <c r="B159" i="28"/>
  <c r="B160" i="28"/>
  <c r="B161" i="28"/>
  <c r="B162" i="28"/>
  <c r="B163" i="28"/>
  <c r="B164" i="28"/>
  <c r="B165" i="28"/>
  <c r="B166" i="28"/>
  <c r="B167" i="28"/>
  <c r="B168" i="28"/>
  <c r="B169" i="28"/>
  <c r="B2" i="28"/>
  <c r="C15" i="23"/>
  <c r="C12" i="27" l="1"/>
  <c r="W13" i="23" l="1"/>
  <c r="B513" i="23" l="1"/>
  <c r="B457" i="23"/>
  <c r="B401" i="23"/>
  <c r="B345" i="23"/>
  <c r="B289" i="23"/>
  <c r="B233" i="23"/>
  <c r="B177" i="23"/>
  <c r="B121" i="23"/>
  <c r="B65" i="23"/>
  <c r="F512" i="23"/>
  <c r="L511" i="23"/>
  <c r="J511" i="23" s="1"/>
  <c r="F511" i="23"/>
  <c r="J510" i="23"/>
  <c r="F510" i="23"/>
  <c r="J509" i="23"/>
  <c r="F509" i="23"/>
  <c r="F456" i="23"/>
  <c r="L455" i="23"/>
  <c r="J455" i="23" s="1"/>
  <c r="F455" i="23"/>
  <c r="J454" i="23"/>
  <c r="F454" i="23"/>
  <c r="J453" i="23"/>
  <c r="F453" i="23"/>
  <c r="F400" i="23"/>
  <c r="L399" i="23"/>
  <c r="J399" i="23" s="1"/>
  <c r="F399" i="23"/>
  <c r="J398" i="23"/>
  <c r="F398" i="23"/>
  <c r="J397" i="23"/>
  <c r="F397" i="23"/>
  <c r="F344" i="23"/>
  <c r="L343" i="23"/>
  <c r="J343" i="23" s="1"/>
  <c r="F343" i="23"/>
  <c r="J342" i="23"/>
  <c r="F342" i="23"/>
  <c r="J341" i="23"/>
  <c r="F341" i="23"/>
  <c r="F288" i="23"/>
  <c r="L287" i="23"/>
  <c r="J287" i="23" s="1"/>
  <c r="F287" i="23"/>
  <c r="J286" i="23"/>
  <c r="F286" i="23"/>
  <c r="J285" i="23"/>
  <c r="F285" i="23"/>
  <c r="F232" i="23"/>
  <c r="L231" i="23"/>
  <c r="J231" i="23" s="1"/>
  <c r="F231" i="23"/>
  <c r="J230" i="23"/>
  <c r="F230" i="23"/>
  <c r="J229" i="23"/>
  <c r="F229" i="23"/>
  <c r="F176" i="23"/>
  <c r="L175" i="23"/>
  <c r="J175" i="23" s="1"/>
  <c r="F175" i="23"/>
  <c r="J174" i="23"/>
  <c r="F174" i="23"/>
  <c r="J173" i="23"/>
  <c r="F173" i="23"/>
  <c r="F120" i="23"/>
  <c r="L119" i="23"/>
  <c r="J119" i="23" s="1"/>
  <c r="F119" i="23"/>
  <c r="J118" i="23"/>
  <c r="F118" i="23"/>
  <c r="J117" i="23"/>
  <c r="F117" i="23"/>
  <c r="F64" i="23"/>
  <c r="L63" i="23"/>
  <c r="J63" i="23" s="1"/>
  <c r="F63" i="23"/>
  <c r="J62" i="23"/>
  <c r="F62" i="23"/>
  <c r="J61" i="23"/>
  <c r="F61" i="23"/>
  <c r="F11" i="23"/>
  <c r="AN15" i="26" l="1"/>
  <c r="AN16" i="26"/>
  <c r="AN17" i="26"/>
  <c r="AN49" i="26"/>
  <c r="AN69" i="26"/>
  <c r="AN70" i="26"/>
  <c r="AN71" i="26"/>
  <c r="AN72" i="26"/>
  <c r="AN73" i="26"/>
  <c r="AN74" i="26"/>
  <c r="AN75" i="26"/>
  <c r="AN76" i="26"/>
  <c r="AV127" i="26"/>
  <c r="AW127" i="26"/>
  <c r="AY127" i="26"/>
  <c r="AZ127" i="26"/>
  <c r="AV128" i="26"/>
  <c r="AW128" i="26"/>
  <c r="AY128" i="26"/>
  <c r="AZ128" i="26"/>
  <c r="AV129" i="26"/>
  <c r="AW129" i="26"/>
  <c r="AY129" i="26"/>
  <c r="AZ129" i="26"/>
  <c r="AV130" i="26"/>
  <c r="AW130" i="26"/>
  <c r="AY130" i="26"/>
  <c r="AZ130" i="26"/>
  <c r="AV131" i="26"/>
  <c r="AW131" i="26"/>
  <c r="AY131" i="26"/>
  <c r="AZ131" i="26"/>
  <c r="AV132" i="26"/>
  <c r="AW132" i="26"/>
  <c r="AY132" i="26"/>
  <c r="AZ132" i="26"/>
  <c r="AC133" i="26"/>
  <c r="AN133" i="26"/>
  <c r="AC134" i="26"/>
  <c r="AN134" i="26"/>
  <c r="AC135" i="26"/>
  <c r="AC136" i="26"/>
  <c r="AC138" i="26"/>
  <c r="AN138" i="26"/>
  <c r="AC139" i="26"/>
  <c r="AN139" i="26"/>
  <c r="AC140" i="26"/>
  <c r="AC141" i="26"/>
  <c r="AC142" i="26"/>
  <c r="AC143" i="26"/>
  <c r="AC144" i="26"/>
  <c r="AC146" i="26"/>
  <c r="AN146" i="26"/>
  <c r="AC147" i="26"/>
  <c r="AN147" i="26"/>
  <c r="AC148" i="26"/>
  <c r="AN148" i="26"/>
  <c r="AC149" i="26"/>
  <c r="AN149" i="26"/>
  <c r="AC150" i="26"/>
  <c r="AN150" i="26"/>
  <c r="AC151" i="26"/>
  <c r="AN151" i="26"/>
  <c r="AV151" i="26"/>
  <c r="AW151" i="26"/>
  <c r="AY151" i="26"/>
  <c r="AZ151" i="26"/>
  <c r="AC152" i="26"/>
  <c r="AN152" i="26"/>
  <c r="AV152" i="26"/>
  <c r="AW152" i="26"/>
  <c r="AY152" i="26"/>
  <c r="AZ152" i="26"/>
  <c r="AC153" i="26"/>
  <c r="AN153" i="26"/>
  <c r="AV153" i="26"/>
  <c r="AW153" i="26"/>
  <c r="AY153" i="26"/>
  <c r="AZ153" i="26"/>
  <c r="AC154" i="26"/>
  <c r="AN154" i="26"/>
  <c r="AV154" i="26"/>
  <c r="AW154" i="26"/>
  <c r="AW155" i="26" s="1"/>
  <c r="AY154" i="26"/>
  <c r="AY155" i="26" s="1"/>
  <c r="AZ154" i="26"/>
  <c r="AZ155" i="26" s="1"/>
  <c r="AC155" i="26"/>
  <c r="AN155" i="26"/>
  <c r="AV155" i="26"/>
  <c r="AC156" i="26"/>
  <c r="AV156" i="26"/>
  <c r="AW156" i="26"/>
  <c r="AY156" i="26"/>
  <c r="AZ156" i="26"/>
  <c r="AC157" i="26"/>
  <c r="AV157" i="26"/>
  <c r="AW157" i="26"/>
  <c r="AY157" i="26"/>
  <c r="AZ157" i="26"/>
  <c r="AC158" i="26"/>
  <c r="AV158" i="26"/>
  <c r="AW158" i="26"/>
  <c r="AY158" i="26"/>
  <c r="AZ158" i="26"/>
  <c r="AC159" i="26"/>
  <c r="AV159" i="26"/>
  <c r="AW159" i="26"/>
  <c r="AY159" i="26"/>
  <c r="AZ159" i="26"/>
  <c r="AC160" i="26"/>
  <c r="AV160" i="26"/>
  <c r="AW160" i="26"/>
  <c r="AY160" i="26"/>
  <c r="AZ160" i="26"/>
  <c r="AC161" i="26"/>
  <c r="AV161" i="26"/>
  <c r="AW161" i="26"/>
  <c r="AY161" i="26"/>
  <c r="AZ161" i="26"/>
  <c r="AC162" i="26"/>
  <c r="AV162" i="26"/>
  <c r="AW162" i="26"/>
  <c r="AY162" i="26"/>
  <c r="AZ162" i="26"/>
  <c r="B124" i="23" l="1"/>
  <c r="B236" i="23"/>
  <c r="B355" i="23"/>
  <c r="B404" i="23"/>
  <c r="D467" i="23"/>
  <c r="G33" i="23"/>
  <c r="I355" i="23" l="1"/>
  <c r="B180" i="23"/>
  <c r="B292" i="23"/>
  <c r="CH74" i="23" l="1"/>
  <c r="CH75" i="23"/>
  <c r="CH76" i="23"/>
  <c r="CH77" i="23"/>
  <c r="CH78" i="23"/>
  <c r="CH79" i="23"/>
  <c r="CH80" i="23"/>
  <c r="CH81" i="23"/>
  <c r="CH82" i="23"/>
  <c r="CH83" i="23"/>
  <c r="CH84" i="23"/>
  <c r="CH85" i="23"/>
  <c r="CH86" i="23"/>
  <c r="CH87" i="23"/>
  <c r="CH88" i="23"/>
  <c r="CH89" i="23"/>
  <c r="CH90" i="23"/>
  <c r="CH91" i="23"/>
  <c r="CH92" i="23"/>
  <c r="CH93" i="23"/>
  <c r="CH94" i="23"/>
  <c r="CH95" i="23"/>
  <c r="CH96" i="23"/>
  <c r="CH97" i="23"/>
  <c r="CH98" i="23"/>
  <c r="CH99" i="23"/>
  <c r="CH100" i="23"/>
  <c r="CH101" i="23"/>
  <c r="CH102" i="23"/>
  <c r="CH103" i="23"/>
  <c r="CH104" i="23"/>
  <c r="CH105" i="23"/>
  <c r="CH106" i="23"/>
  <c r="CH107" i="23"/>
  <c r="CH108" i="23"/>
  <c r="CH109" i="23"/>
  <c r="CH110" i="23"/>
  <c r="CH111" i="23"/>
  <c r="CH112" i="23"/>
  <c r="BA75" i="23" l="1"/>
  <c r="BA76" i="23"/>
  <c r="BA77" i="23"/>
  <c r="BA78" i="23"/>
  <c r="BA79" i="23"/>
  <c r="BA80" i="23"/>
  <c r="BA81" i="23"/>
  <c r="BA82" i="23"/>
  <c r="BA83" i="23"/>
  <c r="BA84" i="23"/>
  <c r="BA85" i="23"/>
  <c r="BA86" i="23"/>
  <c r="BA87" i="23"/>
  <c r="BA88" i="23"/>
  <c r="BA89" i="23"/>
  <c r="BA90" i="23"/>
  <c r="BA91" i="23"/>
  <c r="BA92" i="23"/>
  <c r="BA93" i="23"/>
  <c r="BA94" i="23"/>
  <c r="BA95" i="23"/>
  <c r="BA96" i="23"/>
  <c r="BA97" i="23"/>
  <c r="BA98" i="23"/>
  <c r="BA99" i="23"/>
  <c r="BA100" i="23"/>
  <c r="BA101" i="23"/>
  <c r="BA102" i="23"/>
  <c r="BA103" i="23"/>
  <c r="BA104" i="23"/>
  <c r="BA105" i="23"/>
  <c r="BA106" i="23"/>
  <c r="BA107" i="23"/>
  <c r="BA108" i="23"/>
  <c r="BA109" i="23"/>
  <c r="BA110" i="23"/>
  <c r="BA111" i="23"/>
  <c r="BA112" i="23"/>
  <c r="BA74" i="23"/>
  <c r="BH18" i="23"/>
  <c r="BG18" i="23"/>
  <c r="BF18" i="23"/>
  <c r="BE18" i="23"/>
  <c r="BD18" i="23"/>
  <c r="BC18" i="23"/>
  <c r="BB18" i="23"/>
  <c r="BA18" i="23"/>
  <c r="AZ18" i="23"/>
  <c r="D38" i="23" s="1"/>
  <c r="AY18" i="23"/>
  <c r="D37" i="23" s="1"/>
  <c r="AX18" i="23"/>
  <c r="D36" i="23" s="1"/>
  <c r="E36" i="23" s="1"/>
  <c r="AW18" i="23"/>
  <c r="D35" i="23" s="1"/>
  <c r="AV18" i="23"/>
  <c r="D34" i="23" s="1"/>
  <c r="E34" i="23" s="1"/>
  <c r="AU18" i="23"/>
  <c r="D33" i="23" s="1"/>
  <c r="AT18" i="23"/>
  <c r="D32" i="23" s="1"/>
  <c r="AS18" i="23"/>
  <c r="D31" i="23" s="1"/>
  <c r="E31" i="23" s="1"/>
  <c r="AR18" i="23"/>
  <c r="D30" i="23" s="1"/>
  <c r="E30" i="23" s="1"/>
  <c r="AQ18" i="23"/>
  <c r="D29" i="23" s="1"/>
  <c r="E29" i="23" s="1"/>
  <c r="AP18" i="23"/>
  <c r="D28" i="23" s="1"/>
  <c r="E28" i="23" s="1"/>
  <c r="AO18" i="23"/>
  <c r="D27" i="23" s="1"/>
  <c r="B159" i="23" s="1"/>
  <c r="AN18" i="23"/>
  <c r="D26" i="23" s="1"/>
  <c r="E26" i="23" s="1"/>
  <c r="AM18" i="23"/>
  <c r="D25" i="23" s="1"/>
  <c r="H23" i="23" s="1"/>
  <c r="AL18" i="23"/>
  <c r="D24" i="23" s="1"/>
  <c r="AK18" i="23"/>
  <c r="D23" i="23" s="1"/>
  <c r="E23" i="23" s="1"/>
  <c r="AJ18" i="23"/>
  <c r="D22" i="23" s="1"/>
  <c r="BE77" i="23" s="1"/>
  <c r="AI18" i="23"/>
  <c r="D21" i="23" s="1"/>
  <c r="AH18" i="23"/>
  <c r="D20" i="23" s="1"/>
  <c r="E20" i="23" s="1"/>
  <c r="AG18" i="23"/>
  <c r="D19" i="23" s="1"/>
  <c r="BE78" i="23" s="1"/>
  <c r="AF18" i="23"/>
  <c r="D18" i="23" s="1"/>
  <c r="AE18" i="23"/>
  <c r="AD18" i="23"/>
  <c r="D14" i="23" s="1"/>
  <c r="AC18" i="23"/>
  <c r="AB18" i="23"/>
  <c r="AA18" i="23"/>
  <c r="Z18" i="23"/>
  <c r="F8" i="23"/>
  <c r="F9" i="23"/>
  <c r="F10" i="23"/>
  <c r="J8" i="23"/>
  <c r="J9" i="23"/>
  <c r="L10" i="23"/>
  <c r="J10" i="23" s="1"/>
  <c r="B12" i="23"/>
  <c r="W18" i="23"/>
  <c r="X18" i="23"/>
  <c r="Y18" i="23"/>
  <c r="F355" i="23" l="1"/>
  <c r="F244" i="23"/>
  <c r="X77" i="23"/>
  <c r="E37" i="23"/>
  <c r="E132" i="23"/>
  <c r="F132" i="23" s="1"/>
  <c r="G132" i="23" s="1"/>
  <c r="E35" i="23"/>
  <c r="V468" i="23"/>
  <c r="B476" i="23" s="1"/>
  <c r="B269" i="23"/>
  <c r="B380" i="23" s="1"/>
  <c r="F467" i="23"/>
  <c r="E33" i="23"/>
  <c r="H467" i="23"/>
  <c r="B245" i="23"/>
  <c r="B356" i="23" s="1"/>
  <c r="B261" i="23"/>
  <c r="B372" i="23" s="1"/>
  <c r="V467" i="23"/>
  <c r="B500" i="23" s="1"/>
  <c r="BT79" i="23"/>
  <c r="H35" i="23"/>
  <c r="BE79" i="23"/>
  <c r="BJ80" i="23" s="1"/>
  <c r="H37" i="23"/>
  <c r="AM79" i="23"/>
  <c r="H34" i="23"/>
  <c r="X79" i="23"/>
  <c r="H36" i="23"/>
  <c r="E18" i="23"/>
  <c r="BT77" i="23"/>
  <c r="BT78" i="23"/>
  <c r="E24" i="23"/>
  <c r="AM77" i="23"/>
  <c r="AM80" i="23"/>
  <c r="BT80" i="23" s="1"/>
  <c r="X80" i="23"/>
  <c r="BE80" i="23" s="1"/>
  <c r="BJ109" i="23" s="1"/>
  <c r="X78" i="23"/>
  <c r="X76" i="23"/>
  <c r="AM78" i="23"/>
  <c r="AM76" i="23"/>
  <c r="H22" i="23"/>
  <c r="V16" i="23"/>
  <c r="E22" i="23"/>
  <c r="H21" i="23"/>
  <c r="H20" i="23"/>
  <c r="E21" i="23"/>
  <c r="C43" i="23"/>
  <c r="E19" i="23"/>
  <c r="H26" i="23"/>
  <c r="H24" i="23"/>
  <c r="E27" i="23"/>
  <c r="E25" i="23"/>
  <c r="H25" i="23"/>
  <c r="C42" i="23"/>
  <c r="AC88" i="23" l="1"/>
  <c r="AD88" i="23" s="1"/>
  <c r="AA88" i="23" s="1"/>
  <c r="G467" i="23"/>
  <c r="C244" i="23"/>
  <c r="C355" i="23" s="1"/>
  <c r="D355" i="23" s="1"/>
  <c r="V469" i="23"/>
  <c r="B477" i="23" s="1"/>
  <c r="B501" i="23"/>
  <c r="H500" i="23"/>
  <c r="F500" i="23"/>
  <c r="G500" i="23" s="1"/>
  <c r="E500" i="23" s="1"/>
  <c r="C500" i="23" s="1"/>
  <c r="D500" i="23" s="1"/>
  <c r="I500" i="23"/>
  <c r="V466" i="23"/>
  <c r="B468" i="23" s="1"/>
  <c r="H476" i="23"/>
  <c r="F476" i="23"/>
  <c r="G476" i="23" s="1"/>
  <c r="E476" i="23" s="1"/>
  <c r="C476" i="23" s="1"/>
  <c r="D476" i="23" s="1"/>
  <c r="I476" i="23"/>
  <c r="V244" i="23"/>
  <c r="B246" i="23" s="1"/>
  <c r="B357" i="23" s="1"/>
  <c r="C261" i="23"/>
  <c r="F261" i="23" s="1"/>
  <c r="G261" i="23" s="1"/>
  <c r="G244" i="23"/>
  <c r="E244" i="23"/>
  <c r="E355" i="23" s="1"/>
  <c r="C269" i="23"/>
  <c r="F269" i="23" s="1"/>
  <c r="G269" i="23" s="1"/>
  <c r="V246" i="23"/>
  <c r="B262" i="23" s="1"/>
  <c r="B373" i="23" s="1"/>
  <c r="G355" i="23"/>
  <c r="H355" i="23" s="1"/>
  <c r="C429" i="23"/>
  <c r="C554" i="23"/>
  <c r="C206" i="23"/>
  <c r="C318" i="23"/>
  <c r="C245" i="23"/>
  <c r="F245" i="23" s="1"/>
  <c r="G245" i="23" s="1"/>
  <c r="AC79" i="23"/>
  <c r="AD79" i="23" s="1"/>
  <c r="AA79" i="23" s="1"/>
  <c r="AC77" i="23"/>
  <c r="AD77" i="23" s="1"/>
  <c r="AA77" i="23" s="1"/>
  <c r="AC90" i="23"/>
  <c r="AD90" i="23" s="1"/>
  <c r="AA90" i="23" s="1"/>
  <c r="AC95" i="23"/>
  <c r="AD95" i="23" s="1"/>
  <c r="AA95" i="23" s="1"/>
  <c r="AC83" i="23"/>
  <c r="AD83" i="23" s="1"/>
  <c r="AA83" i="23" s="1"/>
  <c r="AC91" i="23"/>
  <c r="AD91" i="23" s="1"/>
  <c r="AA91" i="23" s="1"/>
  <c r="AC87" i="23"/>
  <c r="AD87" i="23" s="1"/>
  <c r="AA87" i="23" s="1"/>
  <c r="AC74" i="23"/>
  <c r="AD74" i="23" s="1"/>
  <c r="AA74" i="23" s="1"/>
  <c r="AC92" i="23"/>
  <c r="AD92" i="23" s="1"/>
  <c r="AA92" i="23" s="1"/>
  <c r="BJ75" i="23"/>
  <c r="AC89" i="23"/>
  <c r="AD89" i="23" s="1"/>
  <c r="AA89" i="23" s="1"/>
  <c r="BJ85" i="23"/>
  <c r="AC81" i="23"/>
  <c r="AD81" i="23" s="1"/>
  <c r="AA81" i="23" s="1"/>
  <c r="AC86" i="23"/>
  <c r="AD86" i="23" s="1"/>
  <c r="AA86" i="23" s="1"/>
  <c r="AC99" i="23"/>
  <c r="AD99" i="23" s="1"/>
  <c r="AA99" i="23" s="1"/>
  <c r="AC85" i="23"/>
  <c r="AD85" i="23" s="1"/>
  <c r="AA85" i="23" s="1"/>
  <c r="AC75" i="23"/>
  <c r="AD75" i="23" s="1"/>
  <c r="AA75" i="23" s="1"/>
  <c r="AC76" i="23"/>
  <c r="AD76" i="23" s="1"/>
  <c r="AA76" i="23" s="1"/>
  <c r="BJ87" i="23"/>
  <c r="BJ89" i="23"/>
  <c r="BJ79" i="23"/>
  <c r="BJ86" i="23"/>
  <c r="AC97" i="23"/>
  <c r="AD97" i="23" s="1"/>
  <c r="AA97" i="23" s="1"/>
  <c r="AC84" i="23"/>
  <c r="AD84" i="23" s="1"/>
  <c r="AA84" i="23" s="1"/>
  <c r="AC80" i="23"/>
  <c r="AD80" i="23" s="1"/>
  <c r="AA80" i="23" s="1"/>
  <c r="BJ91" i="23"/>
  <c r="AC82" i="23"/>
  <c r="AD82" i="23" s="1"/>
  <c r="AA82" i="23" s="1"/>
  <c r="AC78" i="23"/>
  <c r="AD78" i="23" s="1"/>
  <c r="AA78" i="23" s="1"/>
  <c r="H38" i="23"/>
  <c r="H39" i="23"/>
  <c r="BJ90" i="23"/>
  <c r="BJ77" i="23"/>
  <c r="AR90" i="23"/>
  <c r="AS90" i="23" s="1"/>
  <c r="BB90" i="23" s="1"/>
  <c r="BJ78" i="23"/>
  <c r="BJ74" i="23"/>
  <c r="BJ84" i="23"/>
  <c r="BJ82" i="23"/>
  <c r="BJ88" i="23"/>
  <c r="BJ92" i="23"/>
  <c r="BJ76" i="23"/>
  <c r="BJ83" i="23"/>
  <c r="BJ81" i="23"/>
  <c r="BJ107" i="23"/>
  <c r="AC111" i="23"/>
  <c r="AD111" i="23" s="1"/>
  <c r="AA111" i="23" s="1"/>
  <c r="AR77" i="23"/>
  <c r="AS77" i="23" s="1"/>
  <c r="BB77" i="23" s="1"/>
  <c r="AR86" i="23"/>
  <c r="AS86" i="23" s="1"/>
  <c r="BB86" i="23" s="1"/>
  <c r="AC104" i="23"/>
  <c r="AD104" i="23" s="1"/>
  <c r="AA104" i="23" s="1"/>
  <c r="BY78" i="23"/>
  <c r="BY84" i="23"/>
  <c r="BY87" i="23"/>
  <c r="BY80" i="23"/>
  <c r="BY86" i="23"/>
  <c r="BY75" i="23"/>
  <c r="BY74" i="23"/>
  <c r="BY105" i="23"/>
  <c r="BY88" i="23"/>
  <c r="AC100" i="23"/>
  <c r="AD100" i="23" s="1"/>
  <c r="AA100" i="23" s="1"/>
  <c r="AC101" i="23"/>
  <c r="AD101" i="23" s="1"/>
  <c r="AA101" i="23" s="1"/>
  <c r="BJ110" i="23"/>
  <c r="BY94" i="23"/>
  <c r="BY82" i="23"/>
  <c r="BJ95" i="23"/>
  <c r="BY76" i="23"/>
  <c r="BJ108" i="23"/>
  <c r="BJ100" i="23"/>
  <c r="BY79" i="23"/>
  <c r="BJ105" i="23"/>
  <c r="BY77" i="23"/>
  <c r="BY85" i="23"/>
  <c r="BY81" i="23"/>
  <c r="BY83" i="23"/>
  <c r="C45" i="23"/>
  <c r="AR88" i="23"/>
  <c r="AS88" i="23" s="1"/>
  <c r="BB88" i="23" s="1"/>
  <c r="AR98" i="23"/>
  <c r="AS98" i="23" s="1"/>
  <c r="BB98" i="23" s="1"/>
  <c r="AC102" i="23"/>
  <c r="AD102" i="23" s="1"/>
  <c r="AA102" i="23" s="1"/>
  <c r="AR100" i="23"/>
  <c r="AS100" i="23" s="1"/>
  <c r="BB100" i="23" s="1"/>
  <c r="AC105" i="23"/>
  <c r="AD105" i="23" s="1"/>
  <c r="AA105" i="23" s="1"/>
  <c r="AC103" i="23"/>
  <c r="AD103" i="23" s="1"/>
  <c r="AA103" i="23" s="1"/>
  <c r="AR81" i="23"/>
  <c r="AS81" i="23" s="1"/>
  <c r="AR83" i="23"/>
  <c r="AS83" i="23" s="1"/>
  <c r="BB83" i="23" s="1"/>
  <c r="BY95" i="23"/>
  <c r="BY108" i="23"/>
  <c r="BJ104" i="23"/>
  <c r="BJ99" i="23"/>
  <c r="BY89" i="23"/>
  <c r="BJ112" i="23"/>
  <c r="AC106" i="23"/>
  <c r="AD106" i="23" s="1"/>
  <c r="AA106" i="23" s="1"/>
  <c r="AR105" i="23"/>
  <c r="AS105" i="23" s="1"/>
  <c r="AP105" i="23" s="1"/>
  <c r="BY106" i="23"/>
  <c r="AC108" i="23"/>
  <c r="AD108" i="23" s="1"/>
  <c r="AA108" i="23" s="1"/>
  <c r="BY103" i="23"/>
  <c r="BY101" i="23"/>
  <c r="AR107" i="23"/>
  <c r="AS107" i="23" s="1"/>
  <c r="BB107" i="23" s="1"/>
  <c r="AR92" i="23"/>
  <c r="AS92" i="23" s="1"/>
  <c r="AC109" i="23"/>
  <c r="AD109" i="23" s="1"/>
  <c r="AA109" i="23" s="1"/>
  <c r="AR109" i="23"/>
  <c r="AS109" i="23" s="1"/>
  <c r="BB109" i="23" s="1"/>
  <c r="BY104" i="23"/>
  <c r="AC107" i="23"/>
  <c r="AD107" i="23" s="1"/>
  <c r="AA107" i="23" s="1"/>
  <c r="AC110" i="23"/>
  <c r="AD110" i="23" s="1"/>
  <c r="AA110" i="23" s="1"/>
  <c r="AR102" i="23"/>
  <c r="AS102" i="23" s="1"/>
  <c r="BB102" i="23" s="1"/>
  <c r="AR104" i="23"/>
  <c r="AS104" i="23" s="1"/>
  <c r="AP104" i="23" s="1"/>
  <c r="BY90" i="23"/>
  <c r="BY96" i="23"/>
  <c r="AR89" i="23"/>
  <c r="AS89" i="23" s="1"/>
  <c r="BB89" i="23" s="1"/>
  <c r="BY93" i="23"/>
  <c r="BJ98" i="23"/>
  <c r="AC98" i="23"/>
  <c r="AD98" i="23" s="1"/>
  <c r="AA98" i="23" s="1"/>
  <c r="AR80" i="23"/>
  <c r="AS80" i="23" s="1"/>
  <c r="AP80" i="23" s="1"/>
  <c r="BY109" i="23"/>
  <c r="AR85" i="23"/>
  <c r="AS85" i="23" s="1"/>
  <c r="BB85" i="23" s="1"/>
  <c r="AR95" i="23"/>
  <c r="AS95" i="23" s="1"/>
  <c r="AP95" i="23" s="1"/>
  <c r="AR78" i="23"/>
  <c r="AS78" i="23" s="1"/>
  <c r="BB78" i="23" s="1"/>
  <c r="BY99" i="23"/>
  <c r="BJ97" i="23"/>
  <c r="AR108" i="23"/>
  <c r="AS108" i="23" s="1"/>
  <c r="AP108" i="23" s="1"/>
  <c r="AR101" i="23"/>
  <c r="AS101" i="23" s="1"/>
  <c r="AP101" i="23" s="1"/>
  <c r="BY102" i="23"/>
  <c r="AR93" i="23"/>
  <c r="AS93" i="23" s="1"/>
  <c r="BB93" i="23" s="1"/>
  <c r="AR111" i="23"/>
  <c r="AS111" i="23" s="1"/>
  <c r="AP111" i="23" s="1"/>
  <c r="AR87" i="23"/>
  <c r="AS87" i="23" s="1"/>
  <c r="BB87" i="23" s="1"/>
  <c r="AR97" i="23"/>
  <c r="AS97" i="23" s="1"/>
  <c r="BB97" i="23" s="1"/>
  <c r="AR106" i="23"/>
  <c r="AS106" i="23" s="1"/>
  <c r="AP106" i="23" s="1"/>
  <c r="AR74" i="23"/>
  <c r="AS74" i="23" s="1"/>
  <c r="BB74" i="23" s="1"/>
  <c r="AR99" i="23"/>
  <c r="AS99" i="23" s="1"/>
  <c r="BB99" i="23" s="1"/>
  <c r="BY111" i="23"/>
  <c r="BJ103" i="23"/>
  <c r="AC96" i="23"/>
  <c r="AD96" i="23" s="1"/>
  <c r="AA96" i="23" s="1"/>
  <c r="AR94" i="23"/>
  <c r="AS94" i="23" s="1"/>
  <c r="AP94" i="23" s="1"/>
  <c r="AR75" i="23"/>
  <c r="AS75" i="23" s="1"/>
  <c r="BB75" i="23" s="1"/>
  <c r="BJ94" i="23"/>
  <c r="BY107" i="23"/>
  <c r="BY92" i="23"/>
  <c r="BY112" i="23"/>
  <c r="AR76" i="23"/>
  <c r="AS76" i="23" s="1"/>
  <c r="BB76" i="23" s="1"/>
  <c r="AR110" i="23"/>
  <c r="AS110" i="23" s="1"/>
  <c r="BB110" i="23" s="1"/>
  <c r="AR91" i="23"/>
  <c r="AS91" i="23" s="1"/>
  <c r="AP91" i="23" s="1"/>
  <c r="AR82" i="23"/>
  <c r="AS82" i="23" s="1"/>
  <c r="BB82" i="23" s="1"/>
  <c r="AR103" i="23"/>
  <c r="AS103" i="23" s="1"/>
  <c r="AP103" i="23" s="1"/>
  <c r="BJ96" i="23"/>
  <c r="BJ93" i="23"/>
  <c r="BY98" i="23"/>
  <c r="BJ111" i="23"/>
  <c r="BJ106" i="23"/>
  <c r="BJ101" i="23"/>
  <c r="BY97" i="23"/>
  <c r="AC112" i="23"/>
  <c r="AD112" i="23" s="1"/>
  <c r="AA112" i="23" s="1"/>
  <c r="AC93" i="23"/>
  <c r="AD93" i="23" s="1"/>
  <c r="AA93" i="23" s="1"/>
  <c r="AC94" i="23"/>
  <c r="AD94" i="23" s="1"/>
  <c r="AA94" i="23" s="1"/>
  <c r="AR79" i="23"/>
  <c r="AS79" i="23" s="1"/>
  <c r="BB79" i="23" s="1"/>
  <c r="AR112" i="23"/>
  <c r="AS112" i="23" s="1"/>
  <c r="BB112" i="23" s="1"/>
  <c r="AR96" i="23"/>
  <c r="AS96" i="23" s="1"/>
  <c r="BB96" i="23" s="1"/>
  <c r="AR84" i="23"/>
  <c r="AS84" i="23" s="1"/>
  <c r="BB84" i="23" s="1"/>
  <c r="BY100" i="23"/>
  <c r="BY91" i="23"/>
  <c r="BJ102" i="23"/>
  <c r="BY110" i="23"/>
  <c r="BT76" i="23"/>
  <c r="BE76" i="23"/>
  <c r="H31" i="23"/>
  <c r="C44" i="23"/>
  <c r="H27" i="23"/>
  <c r="H29" i="23"/>
  <c r="D244" i="23" l="1"/>
  <c r="E269" i="23"/>
  <c r="H269" i="23" s="1"/>
  <c r="I269" i="23" s="1"/>
  <c r="D269" i="23"/>
  <c r="H244" i="23"/>
  <c r="I244" i="23" s="1"/>
  <c r="B263" i="23"/>
  <c r="B374" i="23" s="1"/>
  <c r="C262" i="23"/>
  <c r="F262" i="23" s="1"/>
  <c r="B478" i="23"/>
  <c r="I477" i="23"/>
  <c r="F477" i="23"/>
  <c r="G477" i="23" s="1"/>
  <c r="E477" i="23" s="1"/>
  <c r="C477" i="23" s="1"/>
  <c r="D477" i="23" s="1"/>
  <c r="H477" i="23"/>
  <c r="B469" i="23"/>
  <c r="F468" i="23"/>
  <c r="G468" i="23" s="1"/>
  <c r="E468" i="23" s="1"/>
  <c r="C468" i="23" s="1"/>
  <c r="D468" i="23" s="1"/>
  <c r="I468" i="23"/>
  <c r="H468" i="23"/>
  <c r="C372" i="23"/>
  <c r="B247" i="23"/>
  <c r="B358" i="23" s="1"/>
  <c r="C246" i="23"/>
  <c r="F246" i="23" s="1"/>
  <c r="E261" i="23"/>
  <c r="H261" i="23" s="1"/>
  <c r="D261" i="23"/>
  <c r="E245" i="23"/>
  <c r="H245" i="23" s="1"/>
  <c r="I245" i="23" s="1"/>
  <c r="B502" i="23"/>
  <c r="H501" i="23"/>
  <c r="I501" i="23"/>
  <c r="F501" i="23"/>
  <c r="G501" i="23" s="1"/>
  <c r="E501" i="23" s="1"/>
  <c r="C501" i="23" s="1"/>
  <c r="D501" i="23" s="1"/>
  <c r="C380" i="23"/>
  <c r="C132" i="23"/>
  <c r="D132" i="23" s="1"/>
  <c r="B133" i="23"/>
  <c r="B151" i="23"/>
  <c r="C159" i="23"/>
  <c r="D159" i="23" s="1"/>
  <c r="C356" i="23"/>
  <c r="B123" i="23"/>
  <c r="B235" i="23" s="1"/>
  <c r="B347" i="23" s="1"/>
  <c r="B459" i="23" s="1"/>
  <c r="B515" i="23" s="1"/>
  <c r="B179" i="23"/>
  <c r="B291" i="23" s="1"/>
  <c r="B403" i="23" s="1"/>
  <c r="D245" i="23"/>
  <c r="BB104" i="23"/>
  <c r="AP99" i="23"/>
  <c r="AZ99" i="23" s="1"/>
  <c r="BB101" i="23"/>
  <c r="AP100" i="23"/>
  <c r="AZ100" i="23" s="1"/>
  <c r="AP89" i="23"/>
  <c r="AZ89" i="23" s="1"/>
  <c r="BB103" i="23"/>
  <c r="AP86" i="23"/>
  <c r="AZ86" i="23" s="1"/>
  <c r="AP87" i="23"/>
  <c r="AZ87" i="23" s="1"/>
  <c r="BB94" i="23"/>
  <c r="AP84" i="23"/>
  <c r="AZ84" i="23" s="1"/>
  <c r="BB106" i="23"/>
  <c r="BB81" i="23"/>
  <c r="AP81" i="23"/>
  <c r="AP78" i="23"/>
  <c r="AZ78" i="23" s="1"/>
  <c r="BZ101" i="23"/>
  <c r="CI101" i="23" s="1"/>
  <c r="BZ86" i="23"/>
  <c r="CI86" i="23" s="1"/>
  <c r="AP93" i="23"/>
  <c r="AZ93" i="23" s="1"/>
  <c r="C48" i="23"/>
  <c r="BB111" i="23"/>
  <c r="AP83" i="23"/>
  <c r="AZ83" i="23" s="1"/>
  <c r="BZ90" i="23"/>
  <c r="CI90" i="23" s="1"/>
  <c r="BB95" i="23"/>
  <c r="AP109" i="23"/>
  <c r="AZ109" i="23" s="1"/>
  <c r="AP90" i="23"/>
  <c r="AP77" i="23"/>
  <c r="AZ77" i="23" s="1"/>
  <c r="AP88" i="23"/>
  <c r="AZ88" i="23" s="1"/>
  <c r="AP98" i="23"/>
  <c r="AZ98" i="23" s="1"/>
  <c r="AP107" i="23"/>
  <c r="AP79" i="23"/>
  <c r="AZ79" i="23" s="1"/>
  <c r="AP96" i="23"/>
  <c r="AZ96" i="23" s="1"/>
  <c r="AP110" i="23"/>
  <c r="AZ110" i="23" s="1"/>
  <c r="BB92" i="23"/>
  <c r="AP92" i="23"/>
  <c r="AZ92" i="23" s="1"/>
  <c r="AP82" i="23"/>
  <c r="AZ82" i="23" s="1"/>
  <c r="AP102" i="23"/>
  <c r="BB91" i="23"/>
  <c r="AP97" i="23"/>
  <c r="AZ97" i="23" s="1"/>
  <c r="AP74" i="23"/>
  <c r="AZ74" i="23" s="1"/>
  <c r="AP75" i="23"/>
  <c r="AZ75" i="23" s="1"/>
  <c r="AP85" i="23"/>
  <c r="AZ85" i="23" s="1"/>
  <c r="BZ83" i="23"/>
  <c r="CI83" i="23" s="1"/>
  <c r="BK94" i="23"/>
  <c r="BH94" i="23" s="1"/>
  <c r="BB105" i="23"/>
  <c r="BB108" i="23"/>
  <c r="BZ78" i="23"/>
  <c r="CI78" i="23" s="1"/>
  <c r="AP112" i="23"/>
  <c r="AZ112" i="23" s="1"/>
  <c r="BB80" i="23"/>
  <c r="BZ77" i="23"/>
  <c r="CI77" i="23" s="1"/>
  <c r="BZ106" i="23"/>
  <c r="CI106" i="23" s="1"/>
  <c r="BZ75" i="23"/>
  <c r="CI75" i="23" s="1"/>
  <c r="BZ103" i="23"/>
  <c r="CI103" i="23" s="1"/>
  <c r="BZ91" i="23"/>
  <c r="CI91" i="23" s="1"/>
  <c r="BZ84" i="23"/>
  <c r="CI84" i="23" s="1"/>
  <c r="BZ111" i="23"/>
  <c r="CI111" i="23" s="1"/>
  <c r="BZ105" i="23"/>
  <c r="CI105" i="23" s="1"/>
  <c r="BZ76" i="23"/>
  <c r="CI76" i="23" s="1"/>
  <c r="BZ95" i="23"/>
  <c r="CI95" i="23" s="1"/>
  <c r="AP76" i="23"/>
  <c r="AZ76" i="23" s="1"/>
  <c r="BZ79" i="23"/>
  <c r="CI79" i="23" s="1"/>
  <c r="BZ87" i="23"/>
  <c r="CI87" i="23" s="1"/>
  <c r="BZ108" i="23"/>
  <c r="CI108" i="23" s="1"/>
  <c r="BZ88" i="23"/>
  <c r="CI88" i="23" s="1"/>
  <c r="BZ85" i="23"/>
  <c r="CI85" i="23" s="1"/>
  <c r="BZ109" i="23"/>
  <c r="CI109" i="23" s="1"/>
  <c r="BZ100" i="23"/>
  <c r="CI100" i="23" s="1"/>
  <c r="BZ110" i="23"/>
  <c r="CI110" i="23" s="1"/>
  <c r="BZ80" i="23"/>
  <c r="CI80" i="23" s="1"/>
  <c r="BZ94" i="23"/>
  <c r="CI94" i="23" s="1"/>
  <c r="BZ82" i="23"/>
  <c r="CI82" i="23" s="1"/>
  <c r="BZ74" i="23"/>
  <c r="CI74" i="23" s="1"/>
  <c r="BZ112" i="23"/>
  <c r="CI112" i="23" s="1"/>
  <c r="BZ97" i="23"/>
  <c r="CI97" i="23" s="1"/>
  <c r="BZ104" i="23"/>
  <c r="CI104" i="23" s="1"/>
  <c r="BK112" i="23"/>
  <c r="BH112" i="23" s="1"/>
  <c r="BK96" i="23"/>
  <c r="BH96" i="23" s="1"/>
  <c r="BK110" i="23"/>
  <c r="BH110" i="23" s="1"/>
  <c r="BK102" i="23"/>
  <c r="BH102" i="23" s="1"/>
  <c r="BK88" i="23"/>
  <c r="BH88" i="23" s="1"/>
  <c r="BK97" i="23"/>
  <c r="BH97" i="23" s="1"/>
  <c r="BK92" i="23"/>
  <c r="BH92" i="23" s="1"/>
  <c r="BK99" i="23"/>
  <c r="BH99" i="23" s="1"/>
  <c r="BK82" i="23"/>
  <c r="BH82" i="23" s="1"/>
  <c r="BK84" i="23"/>
  <c r="BH84" i="23" s="1"/>
  <c r="BK103" i="23"/>
  <c r="BH103" i="23" s="1"/>
  <c r="BK87" i="23"/>
  <c r="BH87" i="23" s="1"/>
  <c r="BZ96" i="23"/>
  <c r="CI96" i="23" s="1"/>
  <c r="BZ98" i="23"/>
  <c r="CI98" i="23" s="1"/>
  <c r="BK95" i="23"/>
  <c r="BH95" i="23" s="1"/>
  <c r="BK100" i="23"/>
  <c r="BH100" i="23" s="1"/>
  <c r="BK105" i="23"/>
  <c r="BH105" i="23" s="1"/>
  <c r="BZ89" i="23"/>
  <c r="CI89" i="23" s="1"/>
  <c r="BZ81" i="23"/>
  <c r="CI81" i="23" s="1"/>
  <c r="BK80" i="23"/>
  <c r="BH80" i="23" s="1"/>
  <c r="BZ99" i="23"/>
  <c r="CI99" i="23" s="1"/>
  <c r="BK81" i="23"/>
  <c r="BH81" i="23" s="1"/>
  <c r="BK91" i="23"/>
  <c r="BH91" i="23" s="1"/>
  <c r="BZ93" i="23"/>
  <c r="CI93" i="23" s="1"/>
  <c r="BK90" i="23"/>
  <c r="BH90" i="23" s="1"/>
  <c r="BK76" i="23"/>
  <c r="BH76" i="23" s="1"/>
  <c r="BZ107" i="23"/>
  <c r="CI107" i="23" s="1"/>
  <c r="BK106" i="23"/>
  <c r="BH106" i="23" s="1"/>
  <c r="BZ102" i="23"/>
  <c r="CI102" i="23" s="1"/>
  <c r="BZ92" i="23"/>
  <c r="CI92" i="23" s="1"/>
  <c r="BK111" i="23"/>
  <c r="BH111" i="23" s="1"/>
  <c r="BK85" i="23"/>
  <c r="BH85" i="23" s="1"/>
  <c r="BK109" i="23"/>
  <c r="BH109" i="23" s="1"/>
  <c r="BK101" i="23"/>
  <c r="BH101" i="23" s="1"/>
  <c r="BK86" i="23"/>
  <c r="BH86" i="23" s="1"/>
  <c r="BK83" i="23"/>
  <c r="BH83" i="23" s="1"/>
  <c r="BK89" i="23"/>
  <c r="BH89" i="23" s="1"/>
  <c r="BK98" i="23"/>
  <c r="BH98" i="23" s="1"/>
  <c r="BK74" i="23"/>
  <c r="BH74" i="23" s="1"/>
  <c r="BK78" i="23"/>
  <c r="BH78" i="23" s="1"/>
  <c r="BK75" i="23"/>
  <c r="BH75" i="23" s="1"/>
  <c r="BK79" i="23"/>
  <c r="BH79" i="23" s="1"/>
  <c r="BK108" i="23"/>
  <c r="BH108" i="23" s="1"/>
  <c r="BK107" i="23"/>
  <c r="BH107" i="23" s="1"/>
  <c r="BK104" i="23"/>
  <c r="BH104" i="23" s="1"/>
  <c r="BK77" i="23"/>
  <c r="BH77" i="23" s="1"/>
  <c r="BK93" i="23"/>
  <c r="BH93" i="23" s="1"/>
  <c r="AZ95" i="23"/>
  <c r="AZ101" i="23"/>
  <c r="AZ103" i="23"/>
  <c r="AZ105" i="23"/>
  <c r="AZ111" i="23"/>
  <c r="AZ80" i="23"/>
  <c r="AZ91" i="23"/>
  <c r="AZ104" i="23"/>
  <c r="AZ106" i="23"/>
  <c r="AZ108" i="23"/>
  <c r="AZ94" i="23"/>
  <c r="C46" i="23"/>
  <c r="F380" i="23" l="1"/>
  <c r="E380" i="23"/>
  <c r="D372" i="23"/>
  <c r="E372" i="23"/>
  <c r="F356" i="23"/>
  <c r="E356" i="23"/>
  <c r="D356" i="23"/>
  <c r="F372" i="23"/>
  <c r="G380" i="23"/>
  <c r="B470" i="23"/>
  <c r="H469" i="23"/>
  <c r="I469" i="23"/>
  <c r="F469" i="23"/>
  <c r="G469" i="23" s="1"/>
  <c r="E469" i="23" s="1"/>
  <c r="C469" i="23" s="1"/>
  <c r="D469" i="23" s="1"/>
  <c r="B264" i="23"/>
  <c r="B375" i="23" s="1"/>
  <c r="C263" i="23"/>
  <c r="E263" i="23" s="1"/>
  <c r="E159" i="23"/>
  <c r="F159" i="23" s="1"/>
  <c r="G159" i="23" s="1"/>
  <c r="D380" i="23"/>
  <c r="E262" i="23"/>
  <c r="E246" i="23"/>
  <c r="G262" i="23"/>
  <c r="B248" i="23"/>
  <c r="B359" i="23" s="1"/>
  <c r="C247" i="23"/>
  <c r="E247" i="23" s="1"/>
  <c r="B503" i="23"/>
  <c r="I502" i="23"/>
  <c r="H502" i="23"/>
  <c r="F502" i="23"/>
  <c r="G502" i="23" s="1"/>
  <c r="E502" i="23" s="1"/>
  <c r="C502" i="23" s="1"/>
  <c r="D502" i="23" s="1"/>
  <c r="G246" i="23"/>
  <c r="C373" i="23"/>
  <c r="B479" i="23"/>
  <c r="I478" i="23"/>
  <c r="F478" i="23"/>
  <c r="G478" i="23" s="1"/>
  <c r="E478" i="23" s="1"/>
  <c r="C478" i="23" s="1"/>
  <c r="D478" i="23" s="1"/>
  <c r="H478" i="23"/>
  <c r="C133" i="23"/>
  <c r="D133" i="23" s="1"/>
  <c r="C151" i="23"/>
  <c r="D151" i="23" s="1"/>
  <c r="V132" i="23"/>
  <c r="B134" i="23" s="1"/>
  <c r="V134" i="23"/>
  <c r="B152" i="23" s="1"/>
  <c r="C357" i="23"/>
  <c r="D262" i="23"/>
  <c r="D246" i="23"/>
  <c r="AZ102" i="23"/>
  <c r="AZ90" i="23"/>
  <c r="BW101" i="23"/>
  <c r="CG101" i="23" s="1"/>
  <c r="BW90" i="23"/>
  <c r="CG90" i="23" s="1"/>
  <c r="BW78" i="23"/>
  <c r="CG78" i="23" s="1"/>
  <c r="AZ107" i="23"/>
  <c r="AZ81" i="23"/>
  <c r="BW103" i="23"/>
  <c r="CG103" i="23" s="1"/>
  <c r="BW106" i="23"/>
  <c r="CG106" i="23" s="1"/>
  <c r="BW84" i="23"/>
  <c r="CG84" i="23" s="1"/>
  <c r="C50" i="23"/>
  <c r="BW86" i="23"/>
  <c r="CG86" i="23" s="1"/>
  <c r="BW88" i="23"/>
  <c r="CG88" i="23" s="1"/>
  <c r="BW83" i="23"/>
  <c r="CG83" i="23" s="1"/>
  <c r="BW77" i="23"/>
  <c r="CG77" i="23" s="1"/>
  <c r="BW109" i="23"/>
  <c r="CG109" i="23" s="1"/>
  <c r="BW87" i="23"/>
  <c r="CG87" i="23" s="1"/>
  <c r="BW79" i="23"/>
  <c r="CG79" i="23" s="1"/>
  <c r="BW76" i="23"/>
  <c r="CG76" i="23" s="1"/>
  <c r="BW100" i="23"/>
  <c r="CG100" i="23" s="1"/>
  <c r="BW75" i="23"/>
  <c r="CG75" i="23" s="1"/>
  <c r="BW111" i="23"/>
  <c r="CG111" i="23" s="1"/>
  <c r="BW80" i="23"/>
  <c r="CG80" i="23" s="1"/>
  <c r="BW82" i="23"/>
  <c r="CG82" i="23" s="1"/>
  <c r="BW110" i="23"/>
  <c r="CG110" i="23" s="1"/>
  <c r="BW108" i="23"/>
  <c r="CG108" i="23" s="1"/>
  <c r="BW94" i="23"/>
  <c r="CG94" i="23" s="1"/>
  <c r="BW95" i="23"/>
  <c r="CG95" i="23" s="1"/>
  <c r="BW105" i="23"/>
  <c r="CG105" i="23" s="1"/>
  <c r="BW85" i="23"/>
  <c r="CG85" i="23" s="1"/>
  <c r="BW91" i="23"/>
  <c r="CG91" i="23" s="1"/>
  <c r="BW81" i="23"/>
  <c r="CG81" i="23" s="1"/>
  <c r="BW99" i="23"/>
  <c r="CG99" i="23" s="1"/>
  <c r="BW98" i="23"/>
  <c r="CG98" i="23" s="1"/>
  <c r="BW74" i="23"/>
  <c r="CG74" i="23" s="1"/>
  <c r="BW112" i="23"/>
  <c r="CG112" i="23" s="1"/>
  <c r="BW102" i="23"/>
  <c r="CG102" i="23" s="1"/>
  <c r="BW107" i="23"/>
  <c r="CG107" i="23" s="1"/>
  <c r="BW97" i="23"/>
  <c r="CG97" i="23" s="1"/>
  <c r="BW93" i="23"/>
  <c r="CG93" i="23" s="1"/>
  <c r="BW92" i="23"/>
  <c r="CG92" i="23" s="1"/>
  <c r="BW96" i="23"/>
  <c r="CG96" i="23" s="1"/>
  <c r="BW89" i="23"/>
  <c r="CG89" i="23" s="1"/>
  <c r="BW104" i="23"/>
  <c r="CG104" i="23" s="1"/>
  <c r="C49" i="23"/>
  <c r="G356" i="23" l="1"/>
  <c r="H356" i="23" s="1"/>
  <c r="H372" i="23"/>
  <c r="I380" i="23"/>
  <c r="H380" i="23"/>
  <c r="F357" i="23"/>
  <c r="E357" i="23"/>
  <c r="D373" i="23"/>
  <c r="E373" i="23"/>
  <c r="G372" i="23"/>
  <c r="H262" i="23"/>
  <c r="F373" i="23"/>
  <c r="H246" i="23"/>
  <c r="I246" i="23" s="1"/>
  <c r="B265" i="23"/>
  <c r="B376" i="23" s="1"/>
  <c r="C264" i="23"/>
  <c r="E264" i="23" s="1"/>
  <c r="B135" i="23"/>
  <c r="C134" i="23"/>
  <c r="D134" i="23" s="1"/>
  <c r="F247" i="23"/>
  <c r="D247" i="23"/>
  <c r="B480" i="23"/>
  <c r="I479" i="23"/>
  <c r="F479" i="23"/>
  <c r="G479" i="23" s="1"/>
  <c r="E479" i="23" s="1"/>
  <c r="C479" i="23" s="1"/>
  <c r="D479" i="23" s="1"/>
  <c r="H479" i="23"/>
  <c r="C152" i="23"/>
  <c r="D152" i="23" s="1"/>
  <c r="B153" i="23"/>
  <c r="B471" i="23"/>
  <c r="H470" i="23"/>
  <c r="I470" i="23"/>
  <c r="F470" i="23"/>
  <c r="G470" i="23" s="1"/>
  <c r="E470" i="23" s="1"/>
  <c r="C470" i="23" s="1"/>
  <c r="D470" i="23" s="1"/>
  <c r="E151" i="23"/>
  <c r="F151" i="23" s="1"/>
  <c r="G151" i="23" s="1"/>
  <c r="F263" i="23"/>
  <c r="E133" i="23"/>
  <c r="F133" i="23" s="1"/>
  <c r="G133" i="23" s="1"/>
  <c r="C358" i="23"/>
  <c r="F503" i="23"/>
  <c r="G503" i="23" s="1"/>
  <c r="E503" i="23" s="1"/>
  <c r="C503" i="23" s="1"/>
  <c r="D503" i="23" s="1"/>
  <c r="H503" i="23"/>
  <c r="B504" i="23"/>
  <c r="I503" i="23"/>
  <c r="C374" i="23"/>
  <c r="B249" i="23"/>
  <c r="B360" i="23" s="1"/>
  <c r="C248" i="23"/>
  <c r="E248" i="23" s="1"/>
  <c r="D263" i="23"/>
  <c r="D357" i="23"/>
  <c r="C57" i="23"/>
  <c r="G57" i="23"/>
  <c r="C56" i="23"/>
  <c r="G56" i="23"/>
  <c r="G357" i="23" l="1"/>
  <c r="H357" i="23" s="1"/>
  <c r="I372" i="23"/>
  <c r="I356" i="23"/>
  <c r="D374" i="23"/>
  <c r="E374" i="23"/>
  <c r="F358" i="23"/>
  <c r="E358" i="23"/>
  <c r="G373" i="23"/>
  <c r="H373" i="23" s="1"/>
  <c r="D248" i="23"/>
  <c r="D358" i="23"/>
  <c r="B266" i="23"/>
  <c r="B377" i="23" s="1"/>
  <c r="C265" i="23"/>
  <c r="D265" i="23" s="1"/>
  <c r="B136" i="23"/>
  <c r="C135" i="23"/>
  <c r="D135" i="23" s="1"/>
  <c r="F374" i="23"/>
  <c r="F264" i="23"/>
  <c r="C153" i="23"/>
  <c r="D153" i="23" s="1"/>
  <c r="B154" i="23"/>
  <c r="G247" i="23"/>
  <c r="H247" i="23" s="1"/>
  <c r="I247" i="23" s="1"/>
  <c r="G263" i="23"/>
  <c r="H263" i="23" s="1"/>
  <c r="I263" i="23" s="1"/>
  <c r="E152" i="23"/>
  <c r="F152" i="23" s="1"/>
  <c r="G152" i="23" s="1"/>
  <c r="D264" i="23"/>
  <c r="C359" i="23"/>
  <c r="B250" i="23"/>
  <c r="B361" i="23" s="1"/>
  <c r="C249" i="23"/>
  <c r="D249" i="23" s="1"/>
  <c r="B481" i="23"/>
  <c r="F480" i="23"/>
  <c r="G480" i="23" s="1"/>
  <c r="E480" i="23" s="1"/>
  <c r="C480" i="23" s="1"/>
  <c r="D480" i="23" s="1"/>
  <c r="I480" i="23"/>
  <c r="H480" i="23"/>
  <c r="C375" i="23"/>
  <c r="I504" i="23"/>
  <c r="H504" i="23"/>
  <c r="F504" i="23"/>
  <c r="G504" i="23" s="1"/>
  <c r="E504" i="23" s="1"/>
  <c r="C504" i="23" s="1"/>
  <c r="D504" i="23" s="1"/>
  <c r="B505" i="23"/>
  <c r="B472" i="23"/>
  <c r="H471" i="23"/>
  <c r="I471" i="23"/>
  <c r="F471" i="23"/>
  <c r="G471" i="23" s="1"/>
  <c r="E471" i="23" s="1"/>
  <c r="C471" i="23" s="1"/>
  <c r="D471" i="23" s="1"/>
  <c r="E134" i="23"/>
  <c r="F134" i="23" s="1"/>
  <c r="G134" i="23" s="1"/>
  <c r="F248" i="23"/>
  <c r="G358" i="23" l="1"/>
  <c r="I373" i="23"/>
  <c r="I357" i="23"/>
  <c r="F359" i="23"/>
  <c r="E359" i="23"/>
  <c r="F375" i="23"/>
  <c r="E375" i="23"/>
  <c r="E135" i="23"/>
  <c r="F135" i="23" s="1"/>
  <c r="G135" i="23" s="1"/>
  <c r="D359" i="23"/>
  <c r="F249" i="23"/>
  <c r="G249" i="23" s="1"/>
  <c r="F265" i="23"/>
  <c r="G265" i="23" s="1"/>
  <c r="E249" i="23"/>
  <c r="D375" i="23"/>
  <c r="B137" i="23"/>
  <c r="C136" i="23"/>
  <c r="E136" i="23" s="1"/>
  <c r="F136" i="23" s="1"/>
  <c r="G136" i="23" s="1"/>
  <c r="B251" i="23"/>
  <c r="B362" i="23" s="1"/>
  <c r="C250" i="23"/>
  <c r="D250" i="23" s="1"/>
  <c r="G374" i="23"/>
  <c r="H374" i="23" s="1"/>
  <c r="E265" i="23"/>
  <c r="G264" i="23"/>
  <c r="H264" i="23" s="1"/>
  <c r="I264" i="23" s="1"/>
  <c r="C360" i="23"/>
  <c r="B482" i="23"/>
  <c r="I481" i="23"/>
  <c r="H481" i="23"/>
  <c r="F481" i="23"/>
  <c r="G481" i="23" s="1"/>
  <c r="E481" i="23" s="1"/>
  <c r="C481" i="23" s="1"/>
  <c r="D481" i="23" s="1"/>
  <c r="G248" i="23"/>
  <c r="H248" i="23" s="1"/>
  <c r="I248" i="23" s="1"/>
  <c r="F505" i="23"/>
  <c r="G505" i="23" s="1"/>
  <c r="E505" i="23" s="1"/>
  <c r="C505" i="23" s="1"/>
  <c r="D505" i="23" s="1"/>
  <c r="I505" i="23"/>
  <c r="H505" i="23"/>
  <c r="C376" i="23"/>
  <c r="E153" i="23"/>
  <c r="F153" i="23" s="1"/>
  <c r="G153" i="23" s="1"/>
  <c r="B473" i="23"/>
  <c r="F472" i="23"/>
  <c r="G472" i="23" s="1"/>
  <c r="E472" i="23" s="1"/>
  <c r="C472" i="23" s="1"/>
  <c r="D472" i="23" s="1"/>
  <c r="H472" i="23"/>
  <c r="I472" i="23"/>
  <c r="C154" i="23"/>
  <c r="D154" i="23" s="1"/>
  <c r="B155" i="23"/>
  <c r="B267" i="23"/>
  <c r="B378" i="23" s="1"/>
  <c r="C266" i="23"/>
  <c r="D266" i="23" s="1"/>
  <c r="I374" i="23" l="1"/>
  <c r="G375" i="23"/>
  <c r="G359" i="23"/>
  <c r="H358" i="23"/>
  <c r="I358" i="23" s="1"/>
  <c r="F376" i="23"/>
  <c r="E376" i="23"/>
  <c r="F360" i="23"/>
  <c r="E360" i="23"/>
  <c r="H249" i="23"/>
  <c r="I249" i="23" s="1"/>
  <c r="D360" i="23"/>
  <c r="H265" i="23"/>
  <c r="I265" i="23" s="1"/>
  <c r="E266" i="23"/>
  <c r="F266" i="23"/>
  <c r="G266" i="23" s="1"/>
  <c r="D136" i="23"/>
  <c r="D376" i="23"/>
  <c r="C361" i="23"/>
  <c r="C377" i="23"/>
  <c r="B252" i="23"/>
  <c r="B363" i="23" s="1"/>
  <c r="C251" i="23"/>
  <c r="D251" i="23" s="1"/>
  <c r="E154" i="23"/>
  <c r="F154" i="23" s="1"/>
  <c r="G154" i="23" s="1"/>
  <c r="C155" i="23"/>
  <c r="E155" i="23" s="1"/>
  <c r="F155" i="23" s="1"/>
  <c r="G155" i="23" s="1"/>
  <c r="B156" i="23"/>
  <c r="B474" i="23"/>
  <c r="F473" i="23"/>
  <c r="G473" i="23" s="1"/>
  <c r="E473" i="23" s="1"/>
  <c r="C473" i="23" s="1"/>
  <c r="D473" i="23" s="1"/>
  <c r="H473" i="23"/>
  <c r="I473" i="23"/>
  <c r="B483" i="23"/>
  <c r="I482" i="23"/>
  <c r="F482" i="23"/>
  <c r="G482" i="23" s="1"/>
  <c r="E482" i="23" s="1"/>
  <c r="C482" i="23" s="1"/>
  <c r="D482" i="23" s="1"/>
  <c r="H482" i="23"/>
  <c r="B138" i="23"/>
  <c r="C137" i="23"/>
  <c r="E137" i="23" s="1"/>
  <c r="F137" i="23" s="1"/>
  <c r="G137" i="23" s="1"/>
  <c r="B268" i="23"/>
  <c r="B379" i="23" s="1"/>
  <c r="C267" i="23"/>
  <c r="E267" i="23" s="1"/>
  <c r="F250" i="23"/>
  <c r="G360" i="23"/>
  <c r="E250" i="23"/>
  <c r="I359" i="23" l="1"/>
  <c r="G376" i="23"/>
  <c r="H360" i="23"/>
  <c r="I360" i="23" s="1"/>
  <c r="H375" i="23"/>
  <c r="I375" i="23" s="1"/>
  <c r="H359" i="23"/>
  <c r="F361" i="23"/>
  <c r="E361" i="23"/>
  <c r="D377" i="23"/>
  <c r="E377" i="23"/>
  <c r="H266" i="23"/>
  <c r="I266" i="23" s="1"/>
  <c r="F377" i="23"/>
  <c r="D361" i="23"/>
  <c r="D267" i="23"/>
  <c r="D137" i="23"/>
  <c r="F251" i="23"/>
  <c r="G251" i="23" s="1"/>
  <c r="E251" i="23"/>
  <c r="B139" i="23"/>
  <c r="C138" i="23"/>
  <c r="E138" i="23" s="1"/>
  <c r="F138" i="23" s="1"/>
  <c r="G138" i="23" s="1"/>
  <c r="G250" i="23"/>
  <c r="H250" i="23" s="1"/>
  <c r="I250" i="23" s="1"/>
  <c r="D155" i="23"/>
  <c r="C268" i="23"/>
  <c r="E268" i="23" s="1"/>
  <c r="C378" i="23"/>
  <c r="C156" i="23"/>
  <c r="E156" i="23" s="1"/>
  <c r="F156" i="23" s="1"/>
  <c r="G156" i="23" s="1"/>
  <c r="B157" i="23"/>
  <c r="B475" i="23"/>
  <c r="F474" i="23"/>
  <c r="G474" i="23" s="1"/>
  <c r="E474" i="23" s="1"/>
  <c r="C474" i="23" s="1"/>
  <c r="D474" i="23" s="1"/>
  <c r="H474" i="23"/>
  <c r="I474" i="23"/>
  <c r="F267" i="23"/>
  <c r="G267" i="23" s="1"/>
  <c r="H267" i="23" s="1"/>
  <c r="I267" i="23" s="1"/>
  <c r="B253" i="23"/>
  <c r="B364" i="23" s="1"/>
  <c r="C252" i="23"/>
  <c r="E252" i="23" s="1"/>
  <c r="B484" i="23"/>
  <c r="I483" i="23"/>
  <c r="H483" i="23"/>
  <c r="F483" i="23"/>
  <c r="G483" i="23" s="1"/>
  <c r="E483" i="23" s="1"/>
  <c r="C483" i="23" s="1"/>
  <c r="D483" i="23" s="1"/>
  <c r="C362" i="23"/>
  <c r="H361" i="23" l="1"/>
  <c r="G361" i="23"/>
  <c r="I376" i="23"/>
  <c r="H376" i="23"/>
  <c r="D378" i="23"/>
  <c r="E378" i="23"/>
  <c r="F362" i="23"/>
  <c r="E362" i="23"/>
  <c r="G377" i="23"/>
  <c r="D362" i="23"/>
  <c r="D252" i="23"/>
  <c r="F252" i="23"/>
  <c r="G252" i="23" s="1"/>
  <c r="D156" i="23"/>
  <c r="F378" i="23"/>
  <c r="F268" i="23"/>
  <c r="G268" i="23" s="1"/>
  <c r="H268" i="23" s="1"/>
  <c r="I268" i="23" s="1"/>
  <c r="H251" i="23"/>
  <c r="I251" i="23" s="1"/>
  <c r="D268" i="23"/>
  <c r="C363" i="23"/>
  <c r="D138" i="23"/>
  <c r="B485" i="23"/>
  <c r="F484" i="23"/>
  <c r="G484" i="23" s="1"/>
  <c r="E484" i="23" s="1"/>
  <c r="C484" i="23" s="1"/>
  <c r="D484" i="23" s="1"/>
  <c r="I484" i="23"/>
  <c r="H484" i="23"/>
  <c r="C379" i="23"/>
  <c r="B140" i="23"/>
  <c r="C139" i="23"/>
  <c r="D139" i="23" s="1"/>
  <c r="C157" i="23"/>
  <c r="E157" i="23" s="1"/>
  <c r="F157" i="23" s="1"/>
  <c r="G157" i="23" s="1"/>
  <c r="B158" i="23"/>
  <c r="I475" i="23"/>
  <c r="H475" i="23"/>
  <c r="F475" i="23"/>
  <c r="G475" i="23" s="1"/>
  <c r="E475" i="23" s="1"/>
  <c r="C475" i="23" s="1"/>
  <c r="D475" i="23" s="1"/>
  <c r="B254" i="23"/>
  <c r="B365" i="23" s="1"/>
  <c r="C253" i="23"/>
  <c r="F253" i="23" s="1"/>
  <c r="G253" i="23" s="1"/>
  <c r="I377" i="23" l="1"/>
  <c r="H377" i="23"/>
  <c r="H362" i="23"/>
  <c r="G362" i="23"/>
  <c r="I361" i="23"/>
  <c r="D379" i="23"/>
  <c r="E379" i="23"/>
  <c r="F363" i="23"/>
  <c r="E363" i="23"/>
  <c r="G378" i="23"/>
  <c r="H252" i="23"/>
  <c r="I252" i="23" s="1"/>
  <c r="D157" i="23"/>
  <c r="D363" i="23"/>
  <c r="E139" i="23"/>
  <c r="F139" i="23" s="1"/>
  <c r="G139" i="23" s="1"/>
  <c r="F379" i="23"/>
  <c r="C158" i="23"/>
  <c r="D158" i="23" s="1"/>
  <c r="B486" i="23"/>
  <c r="I485" i="23"/>
  <c r="F485" i="23"/>
  <c r="G485" i="23" s="1"/>
  <c r="E485" i="23" s="1"/>
  <c r="C485" i="23" s="1"/>
  <c r="D485" i="23" s="1"/>
  <c r="H485" i="23"/>
  <c r="C364" i="23"/>
  <c r="D253" i="23"/>
  <c r="B255" i="23"/>
  <c r="B366" i="23" s="1"/>
  <c r="C254" i="23"/>
  <c r="F254" i="23" s="1"/>
  <c r="B141" i="23"/>
  <c r="C140" i="23"/>
  <c r="E140" i="23" s="1"/>
  <c r="F140" i="23" s="1"/>
  <c r="G140" i="23" s="1"/>
  <c r="E253" i="23"/>
  <c r="H253" i="23" s="1"/>
  <c r="I253" i="23" s="1"/>
  <c r="G363" i="23" l="1"/>
  <c r="H363" i="23" s="1"/>
  <c r="H379" i="23"/>
  <c r="I362" i="23"/>
  <c r="H378" i="23"/>
  <c r="I378" i="23" s="1"/>
  <c r="D364" i="23"/>
  <c r="E364" i="23"/>
  <c r="G379" i="23"/>
  <c r="D140" i="23"/>
  <c r="E254" i="23"/>
  <c r="G254" i="23"/>
  <c r="B256" i="23"/>
  <c r="B367" i="23" s="1"/>
  <c r="C255" i="23"/>
  <c r="D255" i="23" s="1"/>
  <c r="C365" i="23"/>
  <c r="D254" i="23"/>
  <c r="F364" i="23"/>
  <c r="B142" i="23"/>
  <c r="C141" i="23"/>
  <c r="E141" i="23" s="1"/>
  <c r="F141" i="23" s="1"/>
  <c r="G141" i="23" s="1"/>
  <c r="B487" i="23"/>
  <c r="F486" i="23"/>
  <c r="G486" i="23" s="1"/>
  <c r="E486" i="23" s="1"/>
  <c r="C486" i="23" s="1"/>
  <c r="D486" i="23" s="1"/>
  <c r="I486" i="23"/>
  <c r="H486" i="23"/>
  <c r="E158" i="23"/>
  <c r="F158" i="23" s="1"/>
  <c r="G158" i="23" s="1"/>
  <c r="I261" i="23"/>
  <c r="H364" i="23" l="1"/>
  <c r="I379" i="23"/>
  <c r="I363" i="23"/>
  <c r="D365" i="23"/>
  <c r="E365" i="23"/>
  <c r="F365" i="23"/>
  <c r="H254" i="23"/>
  <c r="I254" i="23" s="1"/>
  <c r="F255" i="23"/>
  <c r="G255" i="23" s="1"/>
  <c r="B257" i="23"/>
  <c r="B368" i="23" s="1"/>
  <c r="C256" i="23"/>
  <c r="E256" i="23" s="1"/>
  <c r="B488" i="23"/>
  <c r="I487" i="23"/>
  <c r="H487" i="23"/>
  <c r="F487" i="23"/>
  <c r="G487" i="23" s="1"/>
  <c r="E487" i="23" s="1"/>
  <c r="C487" i="23" s="1"/>
  <c r="D487" i="23" s="1"/>
  <c r="G364" i="23"/>
  <c r="E255" i="23"/>
  <c r="B143" i="23"/>
  <c r="C142" i="23"/>
  <c r="D142" i="23" s="1"/>
  <c r="C366" i="23"/>
  <c r="D141" i="23"/>
  <c r="I262" i="23"/>
  <c r="I364" i="23" l="1"/>
  <c r="H365" i="23"/>
  <c r="F366" i="23"/>
  <c r="E366" i="23"/>
  <c r="G365" i="23"/>
  <c r="D256" i="23"/>
  <c r="F256" i="23"/>
  <c r="G256" i="23" s="1"/>
  <c r="H256" i="23" s="1"/>
  <c r="I256" i="23" s="1"/>
  <c r="D366" i="23"/>
  <c r="B144" i="23"/>
  <c r="C143" i="23"/>
  <c r="D143" i="23" s="1"/>
  <c r="C367" i="23"/>
  <c r="G366" i="23"/>
  <c r="E142" i="23"/>
  <c r="F142" i="23" s="1"/>
  <c r="G142" i="23" s="1"/>
  <c r="H255" i="23"/>
  <c r="I255" i="23" s="1"/>
  <c r="B258" i="23"/>
  <c r="B369" i="23" s="1"/>
  <c r="C257" i="23"/>
  <c r="D257" i="23" s="1"/>
  <c r="B489" i="23"/>
  <c r="F488" i="23"/>
  <c r="G488" i="23" s="1"/>
  <c r="E488" i="23" s="1"/>
  <c r="C488" i="23" s="1"/>
  <c r="D488" i="23" s="1"/>
  <c r="H488" i="23"/>
  <c r="I488" i="23"/>
  <c r="I365" i="23" l="1"/>
  <c r="I366" i="23"/>
  <c r="H366" i="23"/>
  <c r="F367" i="23"/>
  <c r="E367" i="23"/>
  <c r="F257" i="23"/>
  <c r="G257" i="23" s="1"/>
  <c r="E143" i="23"/>
  <c r="F143" i="23" s="1"/>
  <c r="G143" i="23" s="1"/>
  <c r="E257" i="23"/>
  <c r="D367" i="23"/>
  <c r="G367" i="23"/>
  <c r="B490" i="23"/>
  <c r="I489" i="23"/>
  <c r="H489" i="23"/>
  <c r="F489" i="23"/>
  <c r="G489" i="23" s="1"/>
  <c r="E489" i="23" s="1"/>
  <c r="C489" i="23" s="1"/>
  <c r="D489" i="23" s="1"/>
  <c r="B145" i="23"/>
  <c r="C144" i="23"/>
  <c r="D144" i="23" s="1"/>
  <c r="B259" i="23"/>
  <c r="B370" i="23" s="1"/>
  <c r="C258" i="23"/>
  <c r="D258" i="23" s="1"/>
  <c r="C368" i="23"/>
  <c r="H367" i="23" l="1"/>
  <c r="I367" i="23" s="1"/>
  <c r="F368" i="23"/>
  <c r="E368" i="23"/>
  <c r="H257" i="23"/>
  <c r="I257" i="23" s="1"/>
  <c r="D368" i="23"/>
  <c r="B260" i="23"/>
  <c r="B371" i="23" s="1"/>
  <c r="C259" i="23"/>
  <c r="D259" i="23" s="1"/>
  <c r="E144" i="23"/>
  <c r="F144" i="23" s="1"/>
  <c r="G144" i="23" s="1"/>
  <c r="C369" i="23"/>
  <c r="B491" i="23"/>
  <c r="I490" i="23"/>
  <c r="F490" i="23"/>
  <c r="G490" i="23" s="1"/>
  <c r="E490" i="23" s="1"/>
  <c r="C490" i="23" s="1"/>
  <c r="D490" i="23" s="1"/>
  <c r="H490" i="23"/>
  <c r="B146" i="23"/>
  <c r="C145" i="23"/>
  <c r="E145" i="23" s="1"/>
  <c r="F145" i="23" s="1"/>
  <c r="G145" i="23" s="1"/>
  <c r="F258" i="23"/>
  <c r="E258" i="23"/>
  <c r="G368" i="23" l="1"/>
  <c r="F369" i="23"/>
  <c r="E369" i="23"/>
  <c r="E259" i="23"/>
  <c r="F259" i="23"/>
  <c r="G259" i="23" s="1"/>
  <c r="D369" i="23"/>
  <c r="G369" i="23"/>
  <c r="C260" i="23"/>
  <c r="D260" i="23" s="1"/>
  <c r="C370" i="23"/>
  <c r="D145" i="23"/>
  <c r="G258" i="23"/>
  <c r="H258" i="23" s="1"/>
  <c r="I258" i="23" s="1"/>
  <c r="B147" i="23"/>
  <c r="C146" i="23"/>
  <c r="E146" i="23" s="1"/>
  <c r="F146" i="23" s="1"/>
  <c r="G146" i="23" s="1"/>
  <c r="B492" i="23"/>
  <c r="I491" i="23"/>
  <c r="H491" i="23"/>
  <c r="F491" i="23"/>
  <c r="G491" i="23" s="1"/>
  <c r="E491" i="23" s="1"/>
  <c r="C491" i="23" s="1"/>
  <c r="D491" i="23" s="1"/>
  <c r="I369" i="23" l="1"/>
  <c r="H369" i="23"/>
  <c r="H368" i="23"/>
  <c r="I368" i="23" s="1"/>
  <c r="D370" i="23"/>
  <c r="E370" i="23"/>
  <c r="E260" i="23"/>
  <c r="F260" i="23"/>
  <c r="G260" i="23" s="1"/>
  <c r="H259" i="23"/>
  <c r="I259" i="23" s="1"/>
  <c r="F370" i="23"/>
  <c r="B148" i="23"/>
  <c r="C147" i="23"/>
  <c r="D147" i="23" s="1"/>
  <c r="C371" i="23"/>
  <c r="D146" i="23"/>
  <c r="B493" i="23"/>
  <c r="F492" i="23"/>
  <c r="G492" i="23" s="1"/>
  <c r="E492" i="23" s="1"/>
  <c r="C492" i="23" s="1"/>
  <c r="D492" i="23" s="1"/>
  <c r="H492" i="23"/>
  <c r="I492" i="23"/>
  <c r="D371" i="23" l="1"/>
  <c r="E371" i="23"/>
  <c r="G370" i="23"/>
  <c r="H370" i="23" s="1"/>
  <c r="H260" i="23"/>
  <c r="I260" i="23" s="1"/>
  <c r="F371" i="23"/>
  <c r="E147" i="23"/>
  <c r="F147" i="23" s="1"/>
  <c r="G147" i="23" s="1"/>
  <c r="B149" i="23"/>
  <c r="C148" i="23"/>
  <c r="E148" i="23" s="1"/>
  <c r="F148" i="23" s="1"/>
  <c r="G148" i="23" s="1"/>
  <c r="B494" i="23"/>
  <c r="H493" i="23"/>
  <c r="I493" i="23"/>
  <c r="F493" i="23"/>
  <c r="G493" i="23" s="1"/>
  <c r="E493" i="23" s="1"/>
  <c r="C493" i="23" s="1"/>
  <c r="D493" i="23" s="1"/>
  <c r="H371" i="23" l="1"/>
  <c r="I370" i="23"/>
  <c r="G371" i="23"/>
  <c r="B495" i="23"/>
  <c r="F494" i="23"/>
  <c r="G494" i="23" s="1"/>
  <c r="E494" i="23" s="1"/>
  <c r="C494" i="23" s="1"/>
  <c r="D494" i="23" s="1"/>
  <c r="I494" i="23"/>
  <c r="H494" i="23"/>
  <c r="D148" i="23"/>
  <c r="B150" i="23"/>
  <c r="C149" i="23"/>
  <c r="E149" i="23" s="1"/>
  <c r="F149" i="23" s="1"/>
  <c r="G149" i="23" s="1"/>
  <c r="I371" i="23" l="1"/>
  <c r="D149" i="23"/>
  <c r="B496" i="23"/>
  <c r="I495" i="23"/>
  <c r="F495" i="23"/>
  <c r="G495" i="23" s="1"/>
  <c r="E495" i="23" s="1"/>
  <c r="C495" i="23" s="1"/>
  <c r="D495" i="23" s="1"/>
  <c r="H495" i="23"/>
  <c r="C150" i="23"/>
  <c r="D150" i="23" s="1"/>
  <c r="B497" i="23" l="1"/>
  <c r="I496" i="23"/>
  <c r="H496" i="23"/>
  <c r="F496" i="23"/>
  <c r="G496" i="23" s="1"/>
  <c r="E496" i="23" s="1"/>
  <c r="C496" i="23" s="1"/>
  <c r="D496" i="23" s="1"/>
  <c r="E150" i="23"/>
  <c r="F150" i="23" s="1"/>
  <c r="G150" i="23" s="1"/>
  <c r="B498" i="23" l="1"/>
  <c r="I497" i="23"/>
  <c r="H497" i="23"/>
  <c r="F497" i="23"/>
  <c r="G497" i="23" s="1"/>
  <c r="E497" i="23" s="1"/>
  <c r="C497" i="23" s="1"/>
  <c r="D497" i="23" s="1"/>
  <c r="B499" i="23" l="1"/>
  <c r="H498" i="23"/>
  <c r="I498" i="23"/>
  <c r="F498" i="23"/>
  <c r="G498" i="23" s="1"/>
  <c r="E498" i="23" s="1"/>
  <c r="C498" i="23" s="1"/>
  <c r="D498" i="23" s="1"/>
  <c r="H499" i="23" l="1"/>
  <c r="F499" i="23"/>
  <c r="G499" i="23" s="1"/>
  <c r="E499" i="23" s="1"/>
  <c r="C499" i="23" s="1"/>
  <c r="D499" i="23" s="1"/>
  <c r="I499" i="23"/>
</calcChain>
</file>

<file path=xl/comments1.xml><?xml version="1.0" encoding="utf-8"?>
<comments xmlns="http://schemas.openxmlformats.org/spreadsheetml/2006/main">
  <authors>
    <author>Abbott Aerospace</author>
    <author>R Abbott</author>
  </authors>
  <commentList>
    <comment ref="Y83" authorId="0" shapeId="0">
      <text>
        <r>
          <rPr>
            <b/>
            <sz val="9"/>
            <color indexed="81"/>
            <rFont val="Tahoma"/>
            <family val="2"/>
          </rPr>
          <t>Abbott Aerospace:</t>
        </r>
        <r>
          <rPr>
            <sz val="9"/>
            <color indexed="81"/>
            <rFont val="Tahoma"/>
            <family val="2"/>
          </rPr>
          <t xml:space="preserve">
Inupt the stress from linear material analysis here</t>
        </r>
      </text>
    </comment>
    <comment ref="AN83" authorId="0" shapeId="0">
      <text>
        <r>
          <rPr>
            <b/>
            <sz val="9"/>
            <color indexed="81"/>
            <rFont val="Tahoma"/>
            <family val="2"/>
          </rPr>
          <t>Abbott Aerospace:</t>
        </r>
        <r>
          <rPr>
            <sz val="9"/>
            <color indexed="81"/>
            <rFont val="Tahoma"/>
            <family val="2"/>
          </rPr>
          <t xml:space="preserve">
Inupt the stress from linear material analysis here</t>
        </r>
      </text>
    </comment>
    <comment ref="BF83" authorId="0" shapeId="0">
      <text>
        <r>
          <rPr>
            <b/>
            <sz val="9"/>
            <color indexed="81"/>
            <rFont val="Tahoma"/>
            <family val="2"/>
          </rPr>
          <t>Abbott Aerospace:</t>
        </r>
        <r>
          <rPr>
            <sz val="9"/>
            <color indexed="81"/>
            <rFont val="Tahoma"/>
            <family val="2"/>
          </rPr>
          <t xml:space="preserve">
Inupt the stress from linear material analysis here</t>
        </r>
      </text>
    </comment>
    <comment ref="BU83" authorId="0" shapeId="0">
      <text>
        <r>
          <rPr>
            <b/>
            <sz val="9"/>
            <color indexed="81"/>
            <rFont val="Tahoma"/>
            <family val="2"/>
          </rPr>
          <t>Abbott Aerospace:</t>
        </r>
        <r>
          <rPr>
            <sz val="9"/>
            <color indexed="81"/>
            <rFont val="Tahoma"/>
            <family val="2"/>
          </rPr>
          <t xml:space="preserve">
Inupt the stress from linear material analysis here</t>
        </r>
      </text>
    </comment>
    <comment ref="Y84"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 ref="AN84"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 ref="BF84"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 ref="BU84"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 ref="B133" authorId="1" shapeId="0">
      <text>
        <r>
          <rPr>
            <b/>
            <sz val="8"/>
            <color indexed="81"/>
            <rFont val="Tahoma"/>
            <family val="2"/>
          </rPr>
          <t>R Abbott:</t>
        </r>
        <r>
          <rPr>
            <sz val="8"/>
            <color indexed="81"/>
            <rFont val="Tahoma"/>
            <family val="2"/>
          </rPr>
          <t xml:space="preserve">
Fsy x 0.7</t>
        </r>
      </text>
    </comment>
    <comment ref="B151" authorId="1" shapeId="0">
      <text>
        <r>
          <rPr>
            <b/>
            <sz val="8"/>
            <color indexed="81"/>
            <rFont val="Tahoma"/>
            <family val="2"/>
          </rPr>
          <t>R Abbott:</t>
        </r>
        <r>
          <rPr>
            <sz val="8"/>
            <color indexed="81"/>
            <rFont val="Tahoma"/>
            <family val="2"/>
          </rPr>
          <t xml:space="preserve">
Fsy</t>
        </r>
      </text>
    </comment>
    <comment ref="B159" authorId="1" shapeId="0">
      <text>
        <r>
          <rPr>
            <b/>
            <sz val="8"/>
            <color indexed="81"/>
            <rFont val="Tahoma"/>
            <family val="2"/>
          </rPr>
          <t>R Abbott:</t>
        </r>
        <r>
          <rPr>
            <sz val="8"/>
            <color indexed="81"/>
            <rFont val="Tahoma"/>
            <family val="2"/>
          </rPr>
          <t xml:space="preserve">
Fsu</t>
        </r>
      </text>
    </comment>
    <comment ref="B245" authorId="1" shapeId="0">
      <text>
        <r>
          <rPr>
            <b/>
            <sz val="8"/>
            <color indexed="81"/>
            <rFont val="Tahoma"/>
            <family val="2"/>
          </rPr>
          <t>R Abbott:</t>
        </r>
        <r>
          <rPr>
            <sz val="8"/>
            <color indexed="81"/>
            <rFont val="Tahoma"/>
            <family val="2"/>
          </rPr>
          <t xml:space="preserve">
0.7 * Fcy</t>
        </r>
      </text>
    </comment>
    <comment ref="B261" authorId="1" shapeId="0">
      <text>
        <r>
          <rPr>
            <b/>
            <sz val="8"/>
            <color indexed="81"/>
            <rFont val="Tahoma"/>
            <family val="2"/>
          </rPr>
          <t>R Abbott:</t>
        </r>
        <r>
          <rPr>
            <sz val="8"/>
            <color indexed="81"/>
            <rFont val="Tahoma"/>
            <family val="2"/>
          </rPr>
          <t xml:space="preserve">
Fcy</t>
        </r>
      </text>
    </comment>
    <comment ref="B269" authorId="1" shapeId="0">
      <text>
        <r>
          <rPr>
            <b/>
            <sz val="8"/>
            <color indexed="81"/>
            <rFont val="Tahoma"/>
            <family val="2"/>
          </rPr>
          <t>R Abbott:</t>
        </r>
        <r>
          <rPr>
            <sz val="8"/>
            <color indexed="81"/>
            <rFont val="Tahoma"/>
            <family val="2"/>
          </rPr>
          <t xml:space="preserve">
Fcu = Ftu</t>
        </r>
      </text>
    </comment>
    <comment ref="B356" authorId="1" shapeId="0">
      <text>
        <r>
          <rPr>
            <b/>
            <sz val="8"/>
            <color indexed="81"/>
            <rFont val="Tahoma"/>
            <family val="2"/>
          </rPr>
          <t>R Abbott:</t>
        </r>
        <r>
          <rPr>
            <sz val="8"/>
            <color indexed="81"/>
            <rFont val="Tahoma"/>
            <family val="2"/>
          </rPr>
          <t xml:space="preserve">
Fcy * 0.7
</t>
        </r>
      </text>
    </comment>
    <comment ref="B372" authorId="1" shapeId="0">
      <text>
        <r>
          <rPr>
            <b/>
            <sz val="8"/>
            <color indexed="81"/>
            <rFont val="Tahoma"/>
            <family val="2"/>
          </rPr>
          <t>R Abbott:</t>
        </r>
        <r>
          <rPr>
            <sz val="8"/>
            <color indexed="81"/>
            <rFont val="Tahoma"/>
            <family val="2"/>
          </rPr>
          <t xml:space="preserve">
Fcy</t>
        </r>
      </text>
    </comment>
    <comment ref="B380" authorId="1" shapeId="0">
      <text>
        <r>
          <rPr>
            <b/>
            <sz val="8"/>
            <color indexed="81"/>
            <rFont val="Tahoma"/>
            <family val="2"/>
          </rPr>
          <t>R Abbott:</t>
        </r>
        <r>
          <rPr>
            <sz val="8"/>
            <color indexed="81"/>
            <rFont val="Tahoma"/>
            <family val="2"/>
          </rPr>
          <t xml:space="preserve">
Fcu = Fcu</t>
        </r>
      </text>
    </comment>
    <comment ref="B476" authorId="1" shapeId="0">
      <text>
        <r>
          <rPr>
            <b/>
            <sz val="8"/>
            <color indexed="81"/>
            <rFont val="Tahoma"/>
            <family val="2"/>
          </rPr>
          <t>R Abbott:</t>
        </r>
        <r>
          <rPr>
            <sz val="8"/>
            <color indexed="81"/>
            <rFont val="Tahoma"/>
            <family val="2"/>
          </rPr>
          <t xml:space="preserve">
L/Rho equivqlnt to Fcu</t>
        </r>
      </text>
    </comment>
    <comment ref="B500" authorId="1"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<sst xmlns="http://schemas.openxmlformats.org/spreadsheetml/2006/main" count="1596" uniqueCount="307">
  <si>
    <t>Date:</t>
  </si>
  <si>
    <t>Reference</t>
  </si>
  <si>
    <t>L</t>
  </si>
  <si>
    <t>ST</t>
  </si>
  <si>
    <t>Fsu</t>
  </si>
  <si>
    <t>E</t>
  </si>
  <si>
    <t>Compression</t>
  </si>
  <si>
    <t>Material</t>
  </si>
  <si>
    <t>MIL-HDBK</t>
  </si>
  <si>
    <t>Ftu</t>
  </si>
  <si>
    <t>Fty</t>
  </si>
  <si>
    <t>Fcy</t>
  </si>
  <si>
    <t>Fbru</t>
  </si>
  <si>
    <t>Fbry</t>
  </si>
  <si>
    <t>Elongat.</t>
  </si>
  <si>
    <t>Ec</t>
  </si>
  <si>
    <t>G</t>
  </si>
  <si>
    <t>Nu</t>
  </si>
  <si>
    <t>w</t>
  </si>
  <si>
    <t>Code</t>
  </si>
  <si>
    <t>Series</t>
  </si>
  <si>
    <t>Temp</t>
  </si>
  <si>
    <t>Thickness</t>
  </si>
  <si>
    <t>LT</t>
  </si>
  <si>
    <t/>
  </si>
  <si>
    <t>1.5ED</t>
  </si>
  <si>
    <t>2ED</t>
  </si>
  <si>
    <t>Prim.</t>
  </si>
  <si>
    <t>Sec.</t>
  </si>
  <si>
    <t xml:space="preserve"> </t>
  </si>
  <si>
    <t>Tension</t>
  </si>
  <si>
    <t>Longitudinal</t>
  </si>
  <si>
    <t>Transverse</t>
  </si>
  <si>
    <t>Short Trans</t>
  </si>
  <si>
    <t>psi</t>
  </si>
  <si>
    <t>Elongation</t>
  </si>
  <si>
    <t>Primary</t>
  </si>
  <si>
    <t>Secondary</t>
  </si>
  <si>
    <t>e'u =</t>
  </si>
  <si>
    <t>m =</t>
  </si>
  <si>
    <t>k =</t>
  </si>
  <si>
    <t>Plastic Bending Allowables</t>
  </si>
  <si>
    <t>Rectangular Section</t>
  </si>
  <si>
    <t>Circular Section</t>
  </si>
  <si>
    <t>R. Abbott</t>
  </si>
  <si>
    <t>Revision:</t>
  </si>
  <si>
    <t>All Strength Data is A-basis</t>
  </si>
  <si>
    <t>Author:</t>
  </si>
  <si>
    <t>Total Pages:</t>
  </si>
  <si>
    <t>Check:</t>
  </si>
  <si>
    <t>Report:</t>
  </si>
  <si>
    <t>Section:</t>
  </si>
  <si>
    <t>Section Title:</t>
  </si>
  <si>
    <t>Document Number:</t>
  </si>
  <si>
    <t>Revision Level :</t>
  </si>
  <si>
    <t>Page:</t>
  </si>
  <si>
    <t>AA-SM-000-001</t>
  </si>
  <si>
    <t>Jul-10</t>
  </si>
  <si>
    <t>Reference:</t>
  </si>
  <si>
    <t>Mpa</t>
  </si>
  <si>
    <t>(Mpa)</t>
  </si>
  <si>
    <t>Ftu =</t>
  </si>
  <si>
    <t>Strain</t>
  </si>
  <si>
    <t>Stress</t>
  </si>
  <si>
    <t>Fty =</t>
  </si>
  <si>
    <t>Osgood</t>
  </si>
  <si>
    <t>nc</t>
  </si>
  <si>
    <t>Elastic</t>
  </si>
  <si>
    <t>E =</t>
  </si>
  <si>
    <t>Ramberg</t>
  </si>
  <si>
    <t>Tension (L)</t>
  </si>
  <si>
    <r>
      <t>F</t>
    </r>
    <r>
      <rPr>
        <vertAlign val="subscript"/>
        <sz val="10"/>
        <rFont val="Calibri"/>
        <family val="2"/>
        <scheme val="minor"/>
      </rPr>
      <t>tu</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</si>
  <si>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</si>
  <si>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</si>
  <si>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F</t>
    </r>
    <r>
      <rPr>
        <vertAlign val="subscript"/>
        <sz val="10"/>
        <rFont val="Calibri"/>
        <family val="2"/>
        <scheme val="minor"/>
      </rPr>
      <t>ty</t>
    </r>
    <r>
      <rPr>
        <sz val="10"/>
        <rFont val="Calibri"/>
        <family val="2"/>
        <scheme val="minor"/>
      </rPr>
      <t>(LT) =</t>
    </r>
  </si>
  <si>
    <r>
      <t>F</t>
    </r>
    <r>
      <rPr>
        <vertAlign val="subscript"/>
        <sz val="10"/>
        <rFont val="Calibri"/>
        <family val="2"/>
        <scheme val="minor"/>
      </rPr>
      <t>cy</t>
    </r>
    <r>
      <rPr>
        <sz val="10"/>
        <rFont val="Calibri"/>
        <family val="2"/>
        <scheme val="minor"/>
      </rPr>
      <t>(L) =</t>
    </r>
  </si>
  <si>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</si>
  <si>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(LT) =</t>
    </r>
  </si>
  <si>
    <r>
      <t>F</t>
    </r>
    <r>
      <rPr>
        <vertAlign val="subscript"/>
        <sz val="10"/>
        <rFont val="Calibri"/>
        <family val="2"/>
        <scheme val="minor"/>
      </rPr>
      <t>su</t>
    </r>
    <r>
      <rPr>
        <sz val="10"/>
        <rFont val="Calibri"/>
        <family val="2"/>
        <scheme val="minor"/>
      </rPr>
      <t xml:space="preserve"> =</t>
    </r>
  </si>
  <si>
    <r>
      <t>F</t>
    </r>
    <r>
      <rPr>
        <vertAlign val="subscript"/>
        <sz val="10"/>
        <rFont val="Calibri"/>
        <family val="2"/>
        <scheme val="minor"/>
      </rPr>
      <t>tu</t>
    </r>
    <r>
      <rPr>
        <sz val="10"/>
        <rFont val="Calibri"/>
        <family val="2"/>
        <scheme val="minor"/>
      </rPr>
      <t xml:space="preserve"> (L) =</t>
    </r>
  </si>
  <si>
    <r>
      <t>F</t>
    </r>
    <r>
      <rPr>
        <vertAlign val="subscript"/>
        <sz val="10"/>
        <rFont val="Calibri"/>
        <family val="2"/>
        <scheme val="minor"/>
      </rPr>
      <t>su</t>
    </r>
  </si>
  <si>
    <r>
      <t>F</t>
    </r>
    <r>
      <rPr>
        <vertAlign val="subscript"/>
        <sz val="10"/>
        <rFont val="Calibri"/>
        <family val="2"/>
        <scheme val="minor"/>
      </rPr>
      <t>tu</t>
    </r>
    <r>
      <rPr>
        <sz val="10"/>
        <rFont val="Calibri"/>
        <family val="2"/>
        <scheme val="minor"/>
      </rPr>
      <t>(LT) =</t>
    </r>
  </si>
  <si>
    <r>
      <t>F</t>
    </r>
    <r>
      <rPr>
        <vertAlign val="subscript"/>
        <sz val="10"/>
        <rFont val="Calibri"/>
        <family val="2"/>
        <scheme val="minor"/>
      </rPr>
      <t>bru</t>
    </r>
  </si>
  <si>
    <r>
      <t>F</t>
    </r>
    <r>
      <rPr>
        <vertAlign val="subscript"/>
        <sz val="10"/>
        <rFont val="Calibri"/>
        <family val="2"/>
        <scheme val="minor"/>
      </rPr>
      <t>sy</t>
    </r>
    <r>
      <rPr>
        <sz val="10"/>
        <rFont val="Calibri"/>
        <family val="2"/>
        <scheme val="minor"/>
      </rPr>
      <t xml:space="preserve"> = </t>
    </r>
  </si>
  <si>
    <r>
      <t>F</t>
    </r>
    <r>
      <rPr>
        <vertAlign val="subscript"/>
        <sz val="10"/>
        <rFont val="Calibri"/>
        <family val="2"/>
        <scheme val="minor"/>
      </rPr>
      <t>bry</t>
    </r>
  </si>
  <si>
    <r>
      <t>E</t>
    </r>
    <r>
      <rPr>
        <vertAlign val="subscript"/>
        <sz val="10"/>
        <rFont val="Calibri"/>
        <family val="2"/>
        <scheme val="minor"/>
      </rPr>
      <t>t</t>
    </r>
  </si>
  <si>
    <r>
      <t>E</t>
    </r>
    <r>
      <rPr>
        <vertAlign val="subscript"/>
        <sz val="10"/>
        <rFont val="Calibri"/>
        <family val="2"/>
        <scheme val="minor"/>
      </rPr>
      <t>c</t>
    </r>
  </si>
  <si>
    <r>
      <t>F</t>
    </r>
    <r>
      <rPr>
        <vertAlign val="subscript"/>
        <sz val="10"/>
        <rFont val="Calibri"/>
        <family val="2"/>
        <scheme val="minor"/>
      </rPr>
      <t>bm</t>
    </r>
    <r>
      <rPr>
        <sz val="10"/>
        <rFont val="Calibri"/>
        <family val="2"/>
        <scheme val="minor"/>
      </rPr>
      <t xml:space="preserve"> =</t>
    </r>
  </si>
  <si>
    <t>n =</t>
  </si>
  <si>
    <r>
      <t>e</t>
    </r>
    <r>
      <rPr>
        <vertAlign val="subscript"/>
        <sz val="10"/>
        <rFont val="Calibri"/>
        <family val="2"/>
        <scheme val="minor"/>
      </rPr>
      <t>pu</t>
    </r>
    <r>
      <rPr>
        <sz val="10"/>
        <rFont val="Calibri"/>
        <family val="2"/>
        <scheme val="minor"/>
      </rPr>
      <t xml:space="preserve"> =</t>
    </r>
  </si>
  <si>
    <t>f₀ =</t>
  </si>
  <si>
    <r>
      <t>f₀/f</t>
    </r>
    <r>
      <rPr>
        <vertAlign val="subscript"/>
        <sz val="10"/>
        <rFont val="Calibri"/>
        <family val="2"/>
        <scheme val="minor"/>
      </rPr>
      <t>m</t>
    </r>
    <r>
      <rPr>
        <sz val="10"/>
        <rFont val="Calibri"/>
        <family val="2"/>
        <scheme val="minor"/>
      </rPr>
      <t xml:space="preserve"> =</t>
    </r>
  </si>
  <si>
    <r>
      <t>n</t>
    </r>
    <r>
      <rPr>
        <vertAlign val="subscript"/>
        <sz val="10"/>
        <rFont val="Calibri"/>
        <family val="2"/>
        <scheme val="minor"/>
      </rPr>
      <t>cL</t>
    </r>
    <r>
      <rPr>
        <sz val="10"/>
        <rFont val="Calibri"/>
        <family val="2"/>
        <scheme val="minor"/>
      </rPr>
      <t xml:space="preserve"> =</t>
    </r>
  </si>
  <si>
    <r>
      <t>n</t>
    </r>
    <r>
      <rPr>
        <vertAlign val="subscript"/>
        <sz val="10"/>
        <rFont val="Calibri"/>
        <family val="2"/>
        <scheme val="minor"/>
      </rPr>
      <t>cLT</t>
    </r>
    <r>
      <rPr>
        <sz val="10"/>
        <rFont val="Calibri"/>
        <family val="2"/>
        <scheme val="minor"/>
      </rPr>
      <t xml:space="preserve"> =</t>
    </r>
  </si>
  <si>
    <r>
      <t>n</t>
    </r>
    <r>
      <rPr>
        <vertAlign val="subscript"/>
        <sz val="10"/>
        <rFont val="Calibri"/>
        <family val="2"/>
        <scheme val="minor"/>
      </rPr>
      <t>tL</t>
    </r>
    <r>
      <rPr>
        <sz val="10"/>
        <rFont val="Calibri"/>
        <family val="2"/>
        <scheme val="minor"/>
      </rPr>
      <t xml:space="preserve"> =</t>
    </r>
  </si>
  <si>
    <r>
      <t>n</t>
    </r>
    <r>
      <rPr>
        <vertAlign val="subscript"/>
        <sz val="10"/>
        <rFont val="Calibri"/>
        <family val="2"/>
        <scheme val="minor"/>
      </rPr>
      <t>tLT</t>
    </r>
    <r>
      <rPr>
        <sz val="10"/>
        <rFont val="Calibri"/>
        <family val="2"/>
        <scheme val="minor"/>
      </rPr>
      <t xml:space="preserve"> =</t>
    </r>
  </si>
  <si>
    <r>
      <t>n</t>
    </r>
    <r>
      <rPr>
        <vertAlign val="subscript"/>
        <sz val="10"/>
        <rFont val="Calibri"/>
        <family val="2"/>
        <scheme val="minor"/>
      </rPr>
      <t>s</t>
    </r>
    <r>
      <rPr>
        <sz val="10"/>
        <rFont val="Calibri"/>
        <family val="2"/>
        <scheme val="minor"/>
      </rPr>
      <t xml:space="preserve"> =</t>
    </r>
  </si>
  <si>
    <t>Plastic</t>
  </si>
  <si>
    <t xml:space="preserve">Shear </t>
  </si>
  <si>
    <t>Secant</t>
  </si>
  <si>
    <t>Gs/G</t>
  </si>
  <si>
    <t>Modulus</t>
  </si>
  <si>
    <t>(Psi)</t>
  </si>
  <si>
    <t>Tangent</t>
  </si>
  <si>
    <t>v</t>
  </si>
  <si>
    <t>Plasticity</t>
  </si>
  <si>
    <t>plastic</t>
  </si>
  <si>
    <t>Factor</t>
  </si>
  <si>
    <t>Buckling</t>
  </si>
  <si>
    <t>NACA 3781</t>
  </si>
  <si>
    <t>Plastic Correction for Compressive Flange Buckling</t>
  </si>
  <si>
    <t>ns</t>
  </si>
  <si>
    <t>Plastic Correction for Column and Inter-Rivet Buckling</t>
  </si>
  <si>
    <t>L/Rho</t>
  </si>
  <si>
    <t>Recalculated</t>
  </si>
  <si>
    <t>s/t</t>
  </si>
  <si>
    <t>Fc/Et</t>
  </si>
  <si>
    <t>(Inter-rivet</t>
  </si>
  <si>
    <t>(Strain)</t>
  </si>
  <si>
    <t>Johnson</t>
  </si>
  <si>
    <t xml:space="preserve">Euler </t>
  </si>
  <si>
    <t>buckling)</t>
  </si>
  <si>
    <t>Euler</t>
  </si>
  <si>
    <t>Allowable</t>
  </si>
  <si>
    <t>Fcs</t>
  </si>
  <si>
    <t>Plastic Correction for Column and Inter-Rivet Buckling (continued)</t>
  </si>
  <si>
    <t>Note that the higher column allowables are likely to be limited by section crippling, therefore the above graph is only applicable for columns with stable cross sections.</t>
  </si>
  <si>
    <r>
      <t>n</t>
    </r>
    <r>
      <rPr>
        <vertAlign val="subscript"/>
        <sz val="10"/>
        <rFont val="Calibri"/>
        <family val="2"/>
        <scheme val="minor"/>
      </rPr>
      <t>s</t>
    </r>
  </si>
  <si>
    <t>Plasticity Correction Factor Ref Bruhn Section C2.4</t>
  </si>
  <si>
    <t>Total Report Pages:</t>
  </si>
  <si>
    <t>Section Number:</t>
  </si>
  <si>
    <t>Sheet Name</t>
  </si>
  <si>
    <t>IMPORTANT INFORMATION</t>
  </si>
  <si>
    <t>Report Title:</t>
  </si>
  <si>
    <t>About us:</t>
  </si>
  <si>
    <t xml:space="preserve"> spreadsheets@abbottaerospace.com</t>
  </si>
  <si>
    <t>Proprietary information:</t>
  </si>
  <si>
    <t>0.250/1.500</t>
  </si>
  <si>
    <t>3.7.17.0(c)</t>
  </si>
  <si>
    <t>AMS4202</t>
  </si>
  <si>
    <t>T7351</t>
  </si>
  <si>
    <t>2.000/4.000</t>
  </si>
  <si>
    <t>5.4.1.0(b)</t>
  </si>
  <si>
    <t>AMS 4911</t>
  </si>
  <si>
    <t>4V</t>
  </si>
  <si>
    <t>Ti-6Al</t>
  </si>
  <si>
    <t>0.1875/2.000</t>
  </si>
  <si>
    <t>0.000/0.1875</t>
  </si>
  <si>
    <t>5.001/6.000</t>
  </si>
  <si>
    <t>3.7.4.0(b1)</t>
  </si>
  <si>
    <t>AMS 4050</t>
  </si>
  <si>
    <t>T7541</t>
  </si>
  <si>
    <t>B7050</t>
  </si>
  <si>
    <t>&lt;1.000</t>
  </si>
  <si>
    <t>3.7.4.0(e1)</t>
  </si>
  <si>
    <t>AMS 4341</t>
  </si>
  <si>
    <t>T73511</t>
  </si>
  <si>
    <t>E7050</t>
  </si>
  <si>
    <t>1.501/2.000</t>
  </si>
  <si>
    <t>.0250/1.500</t>
  </si>
  <si>
    <t>U</t>
  </si>
  <si>
    <t>3.501/4.000</t>
  </si>
  <si>
    <t>3.7.4.0(c3)</t>
  </si>
  <si>
    <t>QQ-A-250/13</t>
  </si>
  <si>
    <t>T651</t>
  </si>
  <si>
    <t>C7075</t>
  </si>
  <si>
    <t xml:space="preserve">Clad </t>
  </si>
  <si>
    <t>3.001/3.500</t>
  </si>
  <si>
    <t>2.501/3.000</t>
  </si>
  <si>
    <t>2.001/2.500</t>
  </si>
  <si>
    <t>1.001/2.000</t>
  </si>
  <si>
    <t>0.500/1.000</t>
  </si>
  <si>
    <t>0.250/0.499</t>
  </si>
  <si>
    <t>0.188/0.249</t>
  </si>
  <si>
    <t>3.7.4.0(c2)</t>
  </si>
  <si>
    <t>T62</t>
  </si>
  <si>
    <t>0.063/0.187</t>
  </si>
  <si>
    <t>0.040/0.062</t>
  </si>
  <si>
    <t>0.012/0.039</t>
  </si>
  <si>
    <t>0.008/0.011</t>
  </si>
  <si>
    <t>3.7.4.0(c1)</t>
  </si>
  <si>
    <t>AMS 4049</t>
  </si>
  <si>
    <t>T6</t>
  </si>
  <si>
    <t>P</t>
  </si>
  <si>
    <t>C2024</t>
  </si>
  <si>
    <t>2.001/3.000</t>
  </si>
  <si>
    <t>3.2.3.0(e3)</t>
  </si>
  <si>
    <t>QQ-A-250/5</t>
  </si>
  <si>
    <t>T42</t>
  </si>
  <si>
    <t>0.063/0.249</t>
  </si>
  <si>
    <t>0.010/0.062</t>
  </si>
  <si>
    <t>0.008/0.009</t>
  </si>
  <si>
    <t>T4</t>
  </si>
  <si>
    <t>0.129/0.249</t>
  </si>
  <si>
    <t>3.2.3.0(e1)</t>
  </si>
  <si>
    <t>T3</t>
  </si>
  <si>
    <t>0.063/0.128</t>
  </si>
  <si>
    <t>3.001/4.000</t>
  </si>
  <si>
    <t>3.2.1.0(c1)</t>
  </si>
  <si>
    <t>QQ-A-250/3</t>
  </si>
  <si>
    <t>C2014</t>
  </si>
  <si>
    <t>0.040/0.249</t>
  </si>
  <si>
    <t>0.020/0.039</t>
  </si>
  <si>
    <t>3.7.4.0(b3)</t>
  </si>
  <si>
    <t>QQ-A-250/12</t>
  </si>
  <si>
    <t>B7075</t>
  </si>
  <si>
    <t>1.001/1.500</t>
  </si>
  <si>
    <t>T73</t>
  </si>
  <si>
    <t>4.500/5.000</t>
  </si>
  <si>
    <t>3.7.6.0 (g1)</t>
  </si>
  <si>
    <t>QQ-A-250/11</t>
  </si>
  <si>
    <t>E7075</t>
  </si>
  <si>
    <t>Area &lt;32in^2</t>
  </si>
  <si>
    <t xml:space="preserve">Extruded </t>
  </si>
  <si>
    <t>3.000/4.499</t>
  </si>
  <si>
    <t>Area &gt;20&lt;32in^2</t>
  </si>
  <si>
    <t>Area &lt;20in^2</t>
  </si>
  <si>
    <t>1.500/2.999</t>
  </si>
  <si>
    <t>.750/1.499</t>
  </si>
  <si>
    <t>.500/.749</t>
  </si>
  <si>
    <t>.249/.499</t>
  </si>
  <si>
    <t>0.000/0.249</t>
  </si>
  <si>
    <t>T6511</t>
  </si>
  <si>
    <t>T6510</t>
  </si>
  <si>
    <t>0.126/0.249</t>
  </si>
  <si>
    <t>0.040/0.125</t>
  </si>
  <si>
    <t>0.250/2.000</t>
  </si>
  <si>
    <t>3.6.2.0(b1)</t>
  </si>
  <si>
    <t>B6061</t>
  </si>
  <si>
    <t>0.010/0.249</t>
  </si>
  <si>
    <t>B2024</t>
  </si>
  <si>
    <t>2.250/2.499</t>
  </si>
  <si>
    <t>3.2.3.0 (j2)</t>
  </si>
  <si>
    <t>QQ-A-200/3</t>
  </si>
  <si>
    <t>E2024</t>
  </si>
  <si>
    <t>Area &lt;25in^2</t>
  </si>
  <si>
    <t>2.000/2.249</t>
  </si>
  <si>
    <t>1.750/1.999</t>
  </si>
  <si>
    <t>1.500/1.749</t>
  </si>
  <si>
    <t>1.250/1.499</t>
  </si>
  <si>
    <t>1.000/1.249</t>
  </si>
  <si>
    <t>.75/.999</t>
  </si>
  <si>
    <t>0.250/.499</t>
  </si>
  <si>
    <t>000/.249</t>
  </si>
  <si>
    <t>3.2.3.0(b2)</t>
  </si>
  <si>
    <t>QQ-A-250/4</t>
  </si>
  <si>
    <t>3.2.3.0 (j1)</t>
  </si>
  <si>
    <t>T3511</t>
  </si>
  <si>
    <t>Area &gt;25&lt;32in^2</t>
  </si>
  <si>
    <t>T3510</t>
  </si>
  <si>
    <t>3.2.3.0(b1)</t>
  </si>
  <si>
    <t>T351</t>
  </si>
  <si>
    <t>.500/1.000</t>
  </si>
  <si>
    <t>0.010/0.128</t>
  </si>
  <si>
    <t>3.2.1.0(b1)</t>
  </si>
  <si>
    <t>AMS4029</t>
  </si>
  <si>
    <t>B2014</t>
  </si>
  <si>
    <t>AMS 4029</t>
  </si>
  <si>
    <t>C5</t>
  </si>
  <si>
    <t>C4</t>
  </si>
  <si>
    <t>C3</t>
  </si>
  <si>
    <t>C2</t>
  </si>
  <si>
    <t>C1</t>
  </si>
  <si>
    <t>C0</t>
  </si>
  <si>
    <t>b</t>
  </si>
  <si>
    <t>m</t>
  </si>
  <si>
    <t>max</t>
  </si>
  <si>
    <t xml:space="preserve">  to "C" direction</t>
  </si>
  <si>
    <t>direction</t>
  </si>
  <si>
    <t>Fir</t>
  </si>
  <si>
    <t xml:space="preserve"> Grain perpendicular</t>
  </si>
  <si>
    <t>Grain in "C"</t>
  </si>
  <si>
    <t>Fig. 6.33 curve number</t>
  </si>
  <si>
    <t>Fig. 6.32 curve number</t>
  </si>
  <si>
    <t>(MIL-HDBK-5F, notice 2)</t>
  </si>
  <si>
    <t>Material Table</t>
  </si>
  <si>
    <t>If you see errors on this spreadsheet it is because you do not have the XL-Viking Plugin, to find out more:</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</si>
  <si>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</si>
  <si>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</si>
  <si>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</si>
  <si>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</si>
  <si>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</si>
  <si>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</si>
  <si>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</si>
  <si>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</si>
  <si>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</si>
  <si>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</si>
  <si>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</si>
  <si>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</si>
  <si>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ALUMINUM MATERIAL DATA</t>
  </si>
  <si>
    <t>STANDARD SPREADSHEET METHOD</t>
  </si>
  <si>
    <t>Title:</t>
  </si>
  <si>
    <t>www.xl-viking.com</t>
  </si>
  <si>
    <t>http://www.xl-viking.com/download-free-trial/</t>
  </si>
  <si>
    <t>http://www.abbottaerospace.com/engineering-services</t>
  </si>
  <si>
    <t>http://abbottaerospace.com/subscribe</t>
  </si>
  <si>
    <t>(MIL-HNDBK-5H, 1998)</t>
  </si>
  <si>
    <r>
      <t>Plasticity Correction Factor G</t>
    </r>
    <r>
      <rPr>
        <vertAlign val="subscript"/>
        <sz val="10"/>
        <rFont val="Calibri"/>
        <family val="2"/>
        <scheme val="minor"/>
      </rPr>
      <t>s</t>
    </r>
    <r>
      <rPr>
        <sz val="10"/>
        <rFont val="Calibri"/>
        <family val="2"/>
        <scheme val="minor"/>
      </rPr>
      <t>/G</t>
    </r>
  </si>
  <si>
    <t>(NACA TN 3781,1957)</t>
  </si>
  <si>
    <t>Plasticity Correction Factor, Equation A3</t>
  </si>
  <si>
    <t>Plasticity Correction Factor, Figure page 74</t>
  </si>
  <si>
    <t>(AFFDL-TR-69-42, 1986)</t>
  </si>
  <si>
    <t xml:space="preserve"> 7075-T6, QQ-A-250/12, 0.040/0.125</t>
  </si>
  <si>
    <t>Plasticity Correction Factor, Figure page 75</t>
  </si>
  <si>
    <t>Cozzone method</t>
  </si>
  <si>
    <t>C</t>
  </si>
  <si>
    <t>(Abbott, Richard. Analysis and Design of Composite and Metallic Flight Vehicle Structures 1st Edition,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</si>
</sst>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
    <numFmt numFmtId="166" formatCode="0.0000"/>
    <numFmt numFmtId="167" formatCode="0.00000"/>
    <numFmt numFmtId="168" formatCode="0.000E+00;\떰"/>
    <numFmt numFmtId="169" formatCode="0_)"/>
    <numFmt numFmtId="170" formatCode="0.0_)"/>
  </numFmts>
  <fonts count="39">
    <font>
      <sz val="10"/>
      <name val="Arial"/>
    </font>
    <font>
      <sz val="11"/>
      <color theme="1"/>
      <name val="Calibri"/>
      <family val="2"/>
      <scheme val="minor"/>
    </font>
    <font>
      <sz val="10"/>
      <name val="Arial"/>
      <family val="2"/>
    </font>
    <font>
      <sz val="12"/>
      <color indexed="8"/>
      <name val="Arial MT"/>
    </font>
    <font>
      <sz val="10"/>
      <name val="Arial"/>
      <family val="2"/>
    </font>
    <font>
      <b/>
      <sz val="9"/>
      <color indexed="81"/>
      <name val="Tahoma"/>
      <family val="2"/>
    </font>
    <font>
      <sz val="9"/>
      <color indexed="81"/>
      <name val="Tahoma"/>
      <family val="2"/>
    </font>
    <font>
      <sz val="12"/>
      <name val="Calibri"/>
      <family val="2"/>
      <scheme val="minor"/>
    </font>
    <font>
      <b/>
      <sz val="12"/>
      <name val="Calibri"/>
      <family val="2"/>
      <scheme val="minor"/>
    </font>
    <font>
      <sz val="10"/>
      <name val="Calibri"/>
      <family val="2"/>
      <scheme val="minor"/>
    </font>
    <font>
      <b/>
      <sz val="12"/>
      <color rgb="FF0070C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sz val="9"/>
      <name val="Calibri"/>
      <family val="2"/>
      <scheme val="minor"/>
    </font>
    <font>
      <sz val="10"/>
      <color rgb="FF0070C0"/>
      <name val="Calibri"/>
      <family val="2"/>
      <scheme val="minor"/>
    </font>
    <font>
      <b/>
      <sz val="8"/>
      <color indexed="81"/>
      <name val="Tahoma"/>
      <family val="2"/>
    </font>
    <font>
      <sz val="8"/>
      <color indexed="81"/>
      <name val="Tahoma"/>
      <family val="2"/>
    </font>
    <font>
      <b/>
      <u/>
      <sz val="10"/>
      <name val="Calibri"/>
      <family val="2"/>
      <scheme val="minor"/>
    </font>
    <font>
      <sz val="8"/>
      <name val="Calibri"/>
      <family val="2"/>
      <scheme val="minor"/>
    </font>
    <font>
      <b/>
      <i/>
      <sz val="10"/>
      <name val="Calibri"/>
      <family val="2"/>
      <scheme val="minor"/>
    </font>
    <font>
      <b/>
      <sz val="10"/>
      <color rgb="FFFF0000"/>
      <name val="Calibri"/>
      <family val="2"/>
      <scheme val="minor"/>
    </font>
    <font>
      <u/>
      <sz val="10"/>
      <color theme="10"/>
      <name val="Calibri"/>
      <family val="2"/>
    </font>
    <font>
      <sz val="12"/>
      <color indexed="8"/>
      <name val="Arial"/>
      <family val="2"/>
    </font>
    <font>
      <sz val="12"/>
      <name val="Arial"/>
      <family val="2"/>
    </font>
    <font>
      <b/>
      <sz val="12"/>
      <color rgb="FFFF0000"/>
      <name val="Arial"/>
      <family val="2"/>
    </font>
    <font>
      <b/>
      <sz val="12"/>
      <color indexed="8"/>
      <name val="Arial"/>
      <family val="2"/>
    </font>
    <font>
      <b/>
      <sz val="12"/>
      <name val="Arial"/>
      <family val="2"/>
    </font>
    <font>
      <b/>
      <sz val="14"/>
      <color indexed="8"/>
      <name val="Arial"/>
      <family val="2"/>
    </font>
    <font>
      <b/>
      <sz val="24"/>
      <name val="Arial"/>
      <family val="2"/>
    </font>
    <font>
      <i/>
      <u/>
      <sz val="10"/>
      <color theme="10"/>
      <name val="Calibri"/>
      <family val="2"/>
    </font>
    <font>
      <b/>
      <sz val="12"/>
      <color rgb="FFFF0000"/>
      <name val="Calibri"/>
      <family val="2"/>
      <scheme val="minor"/>
    </font>
    <font>
      <sz val="12"/>
      <color rgb="FFFF0000"/>
      <name val="Calibri"/>
      <family val="2"/>
      <scheme val="minor"/>
    </font>
    <font>
      <u/>
      <sz val="10"/>
      <color theme="10"/>
      <name val="Calibri"/>
      <family val="2"/>
      <scheme val="minor"/>
    </font>
    <font>
      <sz val="10"/>
      <color rgb="FF0000FF"/>
      <name val="Calibri"/>
      <family val="2"/>
      <scheme val="minor"/>
    </font>
  </fonts>
  <fills count="2">
    <fill>
      <patternFill patternType="none"/>
    </fill>
    <fill>
      <patternFill patternType="gray125"/>
    </fill>
  </fills>
  <borders count="25">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8"/>
      </left>
      <right style="thin">
        <color indexed="8"/>
      </right>
      <top style="thin">
        <color indexed="64"/>
      </top>
      <bottom/>
      <diagonal/>
    </border>
    <border>
      <left/>
      <right style="thin">
        <color indexed="8"/>
      </right>
      <top style="thin">
        <color indexed="64"/>
      </top>
      <bottom/>
      <diagonal/>
    </border>
    <border>
      <left style="medium">
        <color indexed="8"/>
      </left>
      <right style="thin">
        <color indexed="8"/>
      </right>
      <top/>
      <bottom style="thin">
        <color indexed="64"/>
      </bottom>
      <diagonal/>
    </border>
    <border>
      <left/>
      <right style="thin">
        <color indexed="8"/>
      </right>
      <top/>
      <bottom style="thin">
        <color indexed="64"/>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8"/>
      </right>
      <top style="thin">
        <color indexed="64"/>
      </top>
      <bottom/>
      <diagonal/>
    </border>
    <border>
      <left/>
      <right style="medium">
        <color indexed="8"/>
      </right>
      <top/>
      <bottom style="thin">
        <color indexed="64"/>
      </bottom>
      <diagonal/>
    </border>
    <border>
      <left/>
      <right style="medium">
        <color indexed="64"/>
      </right>
      <top style="medium">
        <color indexed="64"/>
      </top>
      <bottom style="medium">
        <color indexed="64"/>
      </bottom>
      <diagonal/>
    </border>
  </borders>
  <cellStyleXfs count="9">
    <xf numFmtId="0" fontId="0" fillId="0" borderId="0"/>
    <xf numFmtId="0" fontId="3" fillId="0" borderId="0"/>
    <xf numFmtId="0" fontId="2" fillId="0" borderId="0"/>
    <xf numFmtId="9" fontId="4" fillId="0" borderId="0" applyFont="0" applyFill="0" applyBorder="0" applyAlignment="0" applyProtection="0"/>
    <xf numFmtId="0" fontId="2" fillId="0" borderId="0"/>
    <xf numFmtId="0" fontId="2" fillId="0" borderId="0"/>
    <xf numFmtId="0" fontId="26" fillId="0" borderId="0" applyNumberFormat="0" applyFill="0" applyBorder="0" applyAlignment="0" applyProtection="0">
      <alignment vertical="top"/>
      <protection locked="0"/>
    </xf>
    <xf numFmtId="0" fontId="1" fillId="0" borderId="0"/>
    <xf numFmtId="0" fontId="26" fillId="0" borderId="0" applyNumberFormat="0" applyFill="0" applyBorder="0" applyAlignment="0" applyProtection="0">
      <alignment vertical="top"/>
      <protection locked="0"/>
    </xf>
  </cellStyleXfs>
  <cellXfs count="226">
    <xf numFmtId="0" fontId="0" fillId="0" borderId="0" xfId="0"/>
    <xf numFmtId="0" fontId="7" fillId="0" borderId="0" xfId="2" applyFont="1" applyAlignment="1">
      <alignment horizontal="right"/>
    </xf>
    <xf numFmtId="0" fontId="7" fillId="0" borderId="0" xfId="2" applyFont="1"/>
    <xf numFmtId="0" fontId="9" fillId="0" borderId="0" xfId="2" applyFont="1"/>
    <xf numFmtId="0" fontId="9" fillId="0" borderId="4" xfId="2" applyFont="1" applyBorder="1" applyAlignment="1">
      <alignment horizontal="center"/>
    </xf>
    <xf numFmtId="0" fontId="9" fillId="0" borderId="15" xfId="0" applyFont="1" applyBorder="1"/>
    <xf numFmtId="1" fontId="9" fillId="0" borderId="0" xfId="0" applyNumberFormat="1" applyFont="1" applyBorder="1" applyAlignment="1">
      <alignment horizontal="center"/>
    </xf>
    <xf numFmtId="1" fontId="9" fillId="0" borderId="0" xfId="0" applyNumberFormat="1" applyFont="1" applyAlignment="1">
      <alignment horizontal="center"/>
    </xf>
    <xf numFmtId="0" fontId="9" fillId="0" borderId="0" xfId="0" applyFont="1" applyAlignment="1">
      <alignment horizontal="center"/>
    </xf>
    <xf numFmtId="0" fontId="9" fillId="0" borderId="0" xfId="0" applyFont="1"/>
    <xf numFmtId="0" fontId="9" fillId="0" borderId="3" xfId="2" applyFont="1" applyBorder="1" applyAlignment="1">
      <alignment horizontal="center"/>
    </xf>
    <xf numFmtId="0" fontId="9" fillId="0" borderId="1" xfId="0" applyFont="1" applyBorder="1"/>
    <xf numFmtId="0" fontId="10" fillId="0" borderId="0" xfId="2" applyFont="1"/>
    <xf numFmtId="0" fontId="9" fillId="0" borderId="0" xfId="2" applyFont="1" applyAlignment="1">
      <alignment horizontal="right"/>
    </xf>
    <xf numFmtId="0" fontId="11" fillId="0" borderId="0" xfId="2" applyFont="1" applyAlignment="1">
      <alignment horizontal="left"/>
    </xf>
    <xf numFmtId="0" fontId="9" fillId="0" borderId="0" xfId="2" applyFont="1" applyAlignment="1"/>
    <xf numFmtId="0" fontId="11" fillId="0" borderId="0" xfId="2" applyFont="1" applyAlignment="1"/>
    <xf numFmtId="0" fontId="11" fillId="0" borderId="0" xfId="2" quotePrefix="1" applyFont="1" applyAlignment="1"/>
    <xf numFmtId="0" fontId="9" fillId="0" borderId="0" xfId="2" applyFont="1" applyAlignment="1">
      <alignment horizontal="center"/>
    </xf>
    <xf numFmtId="0" fontId="9" fillId="0" borderId="0" xfId="0" applyFont="1" applyBorder="1"/>
    <xf numFmtId="164" fontId="9" fillId="0" borderId="0" xfId="0" applyNumberFormat="1" applyFont="1" applyAlignment="1">
      <alignment horizontal="center"/>
    </xf>
    <xf numFmtId="0" fontId="9" fillId="0" borderId="0" xfId="0" applyFont="1" applyBorder="1" applyAlignment="1"/>
    <xf numFmtId="0" fontId="9" fillId="0" borderId="0" xfId="0" applyFont="1" applyAlignment="1"/>
    <xf numFmtId="0" fontId="9" fillId="0" borderId="0" xfId="0" applyFont="1" applyBorder="1" applyAlignment="1">
      <alignment horizontal="center"/>
    </xf>
    <xf numFmtId="0" fontId="11" fillId="0" borderId="0" xfId="2" applyFont="1" applyAlignment="1">
      <alignment horizontal="right"/>
    </xf>
    <xf numFmtId="0" fontId="11" fillId="0" borderId="0" xfId="0" applyFont="1" applyBorder="1" applyAlignment="1" applyProtection="1">
      <alignment horizontal="right"/>
      <protection locked="0"/>
    </xf>
    <xf numFmtId="0" fontId="8" fillId="0" borderId="0" xfId="0" applyFont="1"/>
    <xf numFmtId="0" fontId="9" fillId="0" borderId="0" xfId="0" applyFont="1" applyBorder="1" applyProtection="1">
      <protection locked="0"/>
    </xf>
    <xf numFmtId="0" fontId="11" fillId="0" borderId="0" xfId="0" applyFont="1" applyBorder="1" applyProtection="1">
      <protection locked="0"/>
    </xf>
    <xf numFmtId="0" fontId="9" fillId="0" borderId="0" xfId="0" applyFont="1" applyBorder="1" applyAlignment="1" applyProtection="1">
      <protection locked="0"/>
    </xf>
    <xf numFmtId="0" fontId="9" fillId="0" borderId="0" xfId="0" applyFont="1" applyProtection="1">
      <protection locked="0"/>
    </xf>
    <xf numFmtId="0" fontId="11" fillId="0" borderId="0" xfId="0" applyFont="1" applyBorder="1" applyAlignment="1" applyProtection="1">
      <alignment horizontal="center"/>
      <protection locked="0"/>
    </xf>
    <xf numFmtId="0" fontId="9" fillId="0" borderId="0" xfId="0" applyFont="1" applyAlignment="1">
      <alignment horizontal="right"/>
    </xf>
    <xf numFmtId="0" fontId="12" fillId="0" borderId="0" xfId="0" applyFont="1"/>
    <xf numFmtId="0" fontId="9" fillId="0" borderId="0" xfId="0" applyFont="1" applyBorder="1" applyAlignment="1" applyProtection="1">
      <alignment horizontal="left"/>
      <protection locked="0"/>
    </xf>
    <xf numFmtId="0" fontId="9" fillId="0" borderId="12" xfId="0" applyFont="1" applyBorder="1" applyProtection="1">
      <protection locked="0"/>
    </xf>
    <xf numFmtId="0" fontId="13" fillId="0" borderId="12" xfId="1" applyFont="1" applyBorder="1" applyProtection="1">
      <protection locked="0"/>
    </xf>
    <xf numFmtId="0" fontId="9" fillId="0" borderId="14" xfId="0" applyFont="1" applyBorder="1" applyProtection="1">
      <protection locked="0"/>
    </xf>
    <xf numFmtId="0" fontId="9" fillId="0" borderId="0" xfId="0" applyFont="1" applyBorder="1" applyAlignment="1" applyProtection="1">
      <alignment horizontal="center"/>
      <protection locked="0"/>
    </xf>
    <xf numFmtId="0" fontId="9" fillId="0" borderId="6" xfId="0" applyFont="1" applyBorder="1" applyProtection="1">
      <protection locked="0"/>
    </xf>
    <xf numFmtId="0" fontId="14" fillId="0" borderId="16" xfId="1" applyFont="1" applyBorder="1" applyProtection="1">
      <protection locked="0"/>
    </xf>
    <xf numFmtId="0" fontId="14" fillId="0" borderId="17" xfId="1" applyFont="1" applyBorder="1" applyProtection="1">
      <protection locked="0"/>
    </xf>
    <xf numFmtId="0" fontId="13" fillId="0" borderId="17" xfId="1" applyFont="1" applyBorder="1" applyProtection="1">
      <protection locked="0"/>
    </xf>
    <xf numFmtId="0" fontId="14" fillId="0" borderId="20" xfId="1" applyFont="1" applyBorder="1" applyProtection="1">
      <protection locked="0"/>
    </xf>
    <xf numFmtId="0" fontId="14" fillId="0" borderId="21" xfId="1" applyFont="1" applyBorder="1" applyProtection="1">
      <protection locked="0"/>
    </xf>
    <xf numFmtId="0" fontId="14" fillId="0" borderId="22" xfId="1" applyFont="1" applyBorder="1" applyProtection="1">
      <protection locked="0"/>
    </xf>
    <xf numFmtId="0" fontId="9" fillId="0" borderId="6" xfId="0" applyFont="1" applyFill="1" applyBorder="1" applyAlignment="1" applyProtection="1">
      <alignment horizontal="center"/>
      <protection locked="0"/>
    </xf>
    <xf numFmtId="0" fontId="9" fillId="0" borderId="7" xfId="0" applyFont="1" applyFill="1" applyBorder="1" applyAlignment="1" applyProtection="1">
      <alignment horizontal="center"/>
      <protection locked="0"/>
    </xf>
    <xf numFmtId="0" fontId="9" fillId="0" borderId="5" xfId="0" applyFont="1" applyBorder="1" applyProtection="1">
      <protection locked="0"/>
    </xf>
    <xf numFmtId="0" fontId="14" fillId="0" borderId="18" xfId="1" applyFont="1" applyBorder="1" applyProtection="1">
      <protection locked="0"/>
    </xf>
    <xf numFmtId="0" fontId="14" fillId="0" borderId="19" xfId="1" applyFont="1" applyBorder="1" applyProtection="1">
      <protection locked="0"/>
    </xf>
    <xf numFmtId="0" fontId="13" fillId="0" borderId="19" xfId="1" applyFont="1" applyBorder="1" applyProtection="1">
      <protection locked="0"/>
    </xf>
    <xf numFmtId="0" fontId="14" fillId="0" borderId="23" xfId="1" applyFont="1" applyBorder="1" applyProtection="1">
      <protection locked="0"/>
    </xf>
    <xf numFmtId="0" fontId="9" fillId="0" borderId="5" xfId="0" applyFont="1" applyFill="1" applyBorder="1" applyAlignment="1" applyProtection="1">
      <alignment horizontal="center"/>
      <protection locked="0"/>
    </xf>
    <xf numFmtId="0" fontId="9" fillId="0" borderId="10" xfId="0" applyFont="1" applyFill="1" applyBorder="1" applyAlignment="1" applyProtection="1">
      <alignment horizontal="center"/>
      <protection locked="0"/>
    </xf>
    <xf numFmtId="0" fontId="15" fillId="0" borderId="0" xfId="0" applyFont="1" applyBorder="1" applyProtection="1">
      <protection locked="0"/>
    </xf>
    <xf numFmtId="0" fontId="9" fillId="0" borderId="7" xfId="0" applyFont="1" applyBorder="1" applyProtection="1">
      <protection locked="0"/>
    </xf>
    <xf numFmtId="0" fontId="9" fillId="0" borderId="15" xfId="0" applyFont="1" applyBorder="1" applyAlignment="1" applyProtection="1">
      <alignment horizontal="right"/>
      <protection locked="0"/>
    </xf>
    <xf numFmtId="0" fontId="9" fillId="0" borderId="4" xfId="0" applyFont="1" applyBorder="1" applyProtection="1">
      <protection locked="0"/>
    </xf>
    <xf numFmtId="0" fontId="17" fillId="0" borderId="24" xfId="0" applyFont="1" applyBorder="1" applyAlignment="1" applyProtection="1">
      <alignment horizontal="center"/>
      <protection locked="0"/>
    </xf>
    <xf numFmtId="0" fontId="9" fillId="0" borderId="2" xfId="0" applyFont="1" applyBorder="1" applyProtection="1">
      <protection locked="0"/>
    </xf>
    <xf numFmtId="0" fontId="9" fillId="0" borderId="1" xfId="0" applyFont="1" applyBorder="1" applyAlignment="1" applyProtection="1">
      <alignment horizontal="right"/>
      <protection locked="0"/>
    </xf>
    <xf numFmtId="0" fontId="9" fillId="0" borderId="3" xfId="0" applyFont="1" applyBorder="1" applyProtection="1">
      <protection locked="0"/>
    </xf>
    <xf numFmtId="0" fontId="9" fillId="0" borderId="10" xfId="0" applyFont="1" applyBorder="1" applyProtection="1">
      <protection locked="0"/>
    </xf>
    <xf numFmtId="0" fontId="9" fillId="0" borderId="8" xfId="0" applyFont="1" applyBorder="1" applyAlignment="1" applyProtection="1">
      <alignment horizontal="right"/>
      <protection locked="0"/>
    </xf>
    <xf numFmtId="0" fontId="9" fillId="0" borderId="9" xfId="0" applyFont="1" applyBorder="1" applyProtection="1">
      <protection locked="0"/>
    </xf>
    <xf numFmtId="0" fontId="9" fillId="0" borderId="1" xfId="0" applyFont="1" applyBorder="1" applyAlignment="1" applyProtection="1">
      <alignment horizontal="left"/>
      <protection locked="0"/>
    </xf>
    <xf numFmtId="0" fontId="9" fillId="0" borderId="0" xfId="0" applyFont="1" applyBorder="1" applyAlignment="1" applyProtection="1">
      <alignment horizontal="right"/>
      <protection locked="0"/>
    </xf>
    <xf numFmtId="0" fontId="13" fillId="0" borderId="0" xfId="1" applyFont="1" applyBorder="1" applyProtection="1">
      <protection locked="0"/>
    </xf>
    <xf numFmtId="0" fontId="9" fillId="0" borderId="1" xfId="0" applyFont="1" applyBorder="1" applyProtection="1">
      <protection locked="0"/>
    </xf>
    <xf numFmtId="0" fontId="9" fillId="0" borderId="8" xfId="0" applyFont="1" applyBorder="1" applyProtection="1">
      <protection locked="0"/>
    </xf>
    <xf numFmtId="0" fontId="9" fillId="0" borderId="11" xfId="0" applyFont="1" applyBorder="1" applyAlignment="1" applyProtection="1">
      <alignment horizontal="right"/>
      <protection locked="0"/>
    </xf>
    <xf numFmtId="0" fontId="9" fillId="0" borderId="13" xfId="0" applyFont="1" applyBorder="1" applyProtection="1">
      <protection locked="0"/>
    </xf>
    <xf numFmtId="0" fontId="9" fillId="0" borderId="0" xfId="0" applyFont="1" applyBorder="1" applyAlignment="1" applyProtection="1">
      <alignment horizontal="right" shrinkToFit="1"/>
      <protection locked="0"/>
    </xf>
    <xf numFmtId="0" fontId="13" fillId="0" borderId="6" xfId="1" applyFont="1" applyBorder="1" applyProtection="1">
      <protection locked="0"/>
    </xf>
    <xf numFmtId="0" fontId="13" fillId="0" borderId="5" xfId="1" applyFont="1" applyBorder="1" applyProtection="1">
      <protection locked="0"/>
    </xf>
    <xf numFmtId="0" fontId="11" fillId="0" borderId="0" xfId="0" applyFont="1" applyAlignment="1" applyProtection="1">
      <alignment horizontal="left"/>
      <protection locked="0"/>
    </xf>
    <xf numFmtId="0" fontId="9" fillId="0" borderId="0" xfId="0" applyFont="1" applyAlignment="1" applyProtection="1">
      <protection locked="0"/>
    </xf>
    <xf numFmtId="0" fontId="9" fillId="0" borderId="0" xfId="0" applyFont="1" applyBorder="1" applyAlignment="1" applyProtection="1">
      <alignment horizontal="left" vertical="center"/>
      <protection locked="0"/>
    </xf>
    <xf numFmtId="165" fontId="11" fillId="0" borderId="0" xfId="0" applyNumberFormat="1" applyFont="1" applyBorder="1" applyProtection="1">
      <protection locked="0"/>
    </xf>
    <xf numFmtId="1" fontId="11" fillId="0" borderId="0" xfId="0" applyNumberFormat="1" applyFont="1" applyBorder="1" applyAlignment="1" applyProtection="1">
      <alignment horizontal="right"/>
      <protection locked="0"/>
    </xf>
    <xf numFmtId="0" fontId="9" fillId="0" borderId="0" xfId="0" applyFont="1" applyAlignment="1">
      <alignment horizontal="left"/>
    </xf>
    <xf numFmtId="0" fontId="9" fillId="0" borderId="0" xfId="0" applyFont="1" applyAlignment="1" applyProtection="1">
      <alignment horizontal="center"/>
      <protection locked="0"/>
    </xf>
    <xf numFmtId="0" fontId="9" fillId="0" borderId="0" xfId="0" quotePrefix="1" applyFont="1" applyBorder="1" applyAlignment="1" applyProtection="1">
      <alignment horizontal="center"/>
      <protection locked="0"/>
    </xf>
    <xf numFmtId="2" fontId="9" fillId="0" borderId="0" xfId="0" applyNumberFormat="1" applyFont="1" applyBorder="1" applyAlignment="1" applyProtection="1">
      <alignment horizontal="left"/>
      <protection locked="0"/>
    </xf>
    <xf numFmtId="164" fontId="9" fillId="0" borderId="0" xfId="0" applyNumberFormat="1" applyFont="1" applyBorder="1" applyAlignment="1" applyProtection="1">
      <alignment horizontal="left"/>
      <protection locked="0"/>
    </xf>
    <xf numFmtId="0" fontId="11" fillId="0" borderId="0" xfId="0" applyFont="1" applyAlignment="1">
      <alignment horizontal="left"/>
    </xf>
    <xf numFmtId="0" fontId="11" fillId="0" borderId="0" xfId="0" quotePrefix="1" applyFont="1" applyAlignment="1" applyProtection="1">
      <alignment horizontal="right"/>
      <protection locked="0"/>
    </xf>
    <xf numFmtId="0" fontId="18" fillId="0" borderId="0" xfId="0" applyFont="1" applyBorder="1" applyAlignment="1">
      <alignment vertical="center"/>
    </xf>
    <xf numFmtId="0" fontId="18" fillId="0" borderId="3" xfId="0" applyFont="1" applyBorder="1" applyAlignment="1">
      <alignment horizontal="center" vertical="center"/>
    </xf>
    <xf numFmtId="0" fontId="18" fillId="0" borderId="0" xfId="0" applyFont="1" applyBorder="1" applyAlignment="1">
      <alignment horizontal="center" vertical="center"/>
    </xf>
    <xf numFmtId="0" fontId="9" fillId="0" borderId="3" xfId="0" applyFont="1" applyBorder="1"/>
    <xf numFmtId="1" fontId="9" fillId="0" borderId="0" xfId="0" applyNumberFormat="1" applyFont="1"/>
    <xf numFmtId="166" fontId="9" fillId="0" borderId="0" xfId="0" applyNumberFormat="1" applyFont="1" applyAlignment="1">
      <alignment horizontal="center"/>
    </xf>
    <xf numFmtId="2" fontId="9" fillId="0" borderId="0" xfId="0" applyNumberFormat="1" applyFont="1" applyAlignment="1">
      <alignment horizontal="center"/>
    </xf>
    <xf numFmtId="2" fontId="11" fillId="0" borderId="0" xfId="0" applyNumberFormat="1" applyFont="1" applyAlignment="1">
      <alignment horizontal="center"/>
    </xf>
    <xf numFmtId="166" fontId="9" fillId="0" borderId="0" xfId="0" applyNumberFormat="1" applyFont="1"/>
    <xf numFmtId="164" fontId="9" fillId="0" borderId="0" xfId="0" applyNumberFormat="1" applyFont="1"/>
    <xf numFmtId="0" fontId="9" fillId="0" borderId="0" xfId="0" applyFont="1" applyAlignment="1" applyProtection="1">
      <alignment horizontal="right"/>
      <protection locked="0"/>
    </xf>
    <xf numFmtId="1" fontId="19" fillId="0" borderId="0" xfId="0" applyNumberFormat="1" applyFont="1" applyProtection="1">
      <protection locked="0"/>
    </xf>
    <xf numFmtId="3" fontId="19" fillId="0" borderId="0" xfId="0" applyNumberFormat="1" applyFont="1" applyProtection="1">
      <protection locked="0"/>
    </xf>
    <xf numFmtId="0" fontId="19" fillId="0" borderId="0" xfId="0" applyFont="1" applyProtection="1">
      <protection locked="0"/>
    </xf>
    <xf numFmtId="3" fontId="9" fillId="0" borderId="0" xfId="0" applyNumberFormat="1" applyFont="1" applyProtection="1">
      <protection locked="0"/>
    </xf>
    <xf numFmtId="9" fontId="19" fillId="0" borderId="0" xfId="3" applyFont="1" applyProtection="1">
      <protection locked="0"/>
    </xf>
    <xf numFmtId="0" fontId="19" fillId="0" borderId="0" xfId="0" applyFont="1" applyBorder="1" applyProtection="1">
      <protection locked="0"/>
    </xf>
    <xf numFmtId="165" fontId="9" fillId="0" borderId="0" xfId="0" applyNumberFormat="1" applyFont="1" applyBorder="1" applyAlignment="1" applyProtection="1">
      <alignment horizontal="right"/>
      <protection locked="0"/>
    </xf>
    <xf numFmtId="1" fontId="9" fillId="0" borderId="0" xfId="0" applyNumberFormat="1" applyFont="1" applyBorder="1" applyAlignment="1" applyProtection="1">
      <alignment horizontal="right"/>
      <protection locked="0"/>
    </xf>
    <xf numFmtId="0" fontId="9" fillId="0" borderId="0" xfId="0" applyFont="1" applyAlignment="1">
      <alignment vertical="top"/>
    </xf>
    <xf numFmtId="0" fontId="9" fillId="0" borderId="0" xfId="0" applyFont="1" applyBorder="1" applyAlignment="1" applyProtection="1">
      <alignment vertical="top"/>
      <protection locked="0"/>
    </xf>
    <xf numFmtId="165" fontId="11" fillId="0" borderId="0" xfId="0" applyNumberFormat="1" applyFont="1" applyBorder="1" applyAlignment="1" applyProtection="1">
      <alignment horizontal="left"/>
      <protection locked="0"/>
    </xf>
    <xf numFmtId="0" fontId="9" fillId="0" borderId="2" xfId="0" applyFont="1" applyBorder="1" applyAlignment="1">
      <alignment horizontal="center"/>
    </xf>
    <xf numFmtId="0" fontId="9" fillId="0" borderId="3" xfId="0" applyFont="1" applyBorder="1" applyAlignment="1">
      <alignment horizontal="center"/>
    </xf>
    <xf numFmtId="0" fontId="9" fillId="0" borderId="2" xfId="0" applyFont="1" applyBorder="1"/>
    <xf numFmtId="0" fontId="11" fillId="0" borderId="0" xfId="0" applyFont="1" applyBorder="1" applyAlignment="1" applyProtection="1">
      <alignment horizontal="left"/>
      <protection locked="0"/>
    </xf>
    <xf numFmtId="0" fontId="23" fillId="0" borderId="0" xfId="0" applyFont="1" applyBorder="1" applyAlignment="1" applyProtection="1">
      <alignment horizontal="center"/>
      <protection locked="0"/>
    </xf>
    <xf numFmtId="0" fontId="23" fillId="0" borderId="0" xfId="0" applyFont="1" applyBorder="1" applyAlignment="1" applyProtection="1">
      <alignment horizontal="center" shrinkToFit="1"/>
      <protection locked="0"/>
    </xf>
    <xf numFmtId="1" fontId="9" fillId="0" borderId="0" xfId="0" applyNumberFormat="1" applyFont="1" applyBorder="1" applyAlignment="1" applyProtection="1">
      <alignment horizontal="center"/>
      <protection locked="0"/>
    </xf>
    <xf numFmtId="2" fontId="9" fillId="0" borderId="0" xfId="0" applyNumberFormat="1" applyFont="1" applyBorder="1" applyAlignment="1" applyProtection="1">
      <alignment horizontal="center"/>
      <protection locked="0"/>
    </xf>
    <xf numFmtId="166" fontId="9" fillId="0" borderId="0" xfId="0" applyNumberFormat="1" applyFont="1" applyBorder="1" applyAlignment="1" applyProtection="1">
      <alignment horizontal="center"/>
      <protection locked="0"/>
    </xf>
    <xf numFmtId="167" fontId="9" fillId="0" borderId="0" xfId="0" applyNumberFormat="1" applyFont="1" applyBorder="1" applyAlignment="1">
      <alignment horizontal="center"/>
    </xf>
    <xf numFmtId="0" fontId="9" fillId="0" borderId="0" xfId="0" applyFont="1" applyBorder="1" applyAlignment="1">
      <alignment horizontal="left"/>
    </xf>
    <xf numFmtId="0" fontId="9" fillId="0" borderId="0" xfId="0" applyFont="1" applyAlignment="1" applyProtection="1">
      <alignment horizontal="left"/>
      <protection locked="0"/>
    </xf>
    <xf numFmtId="165" fontId="9" fillId="0" borderId="0" xfId="0" applyNumberFormat="1" applyFont="1" applyBorder="1" applyAlignment="1" applyProtection="1">
      <alignment horizontal="center"/>
      <protection locked="0"/>
    </xf>
    <xf numFmtId="164" fontId="9" fillId="0" borderId="0" xfId="0" applyNumberFormat="1" applyFont="1" applyBorder="1" applyAlignment="1" applyProtection="1">
      <alignment horizontal="center"/>
      <protection locked="0"/>
    </xf>
    <xf numFmtId="0" fontId="9" fillId="0" borderId="0" xfId="0" applyFont="1" applyBorder="1" applyAlignment="1">
      <alignment horizontal="right"/>
    </xf>
    <xf numFmtId="166" fontId="11" fillId="0" borderId="0" xfId="0" applyNumberFormat="1" applyFont="1" applyBorder="1" applyAlignment="1" applyProtection="1">
      <alignment horizontal="right"/>
      <protection locked="0"/>
    </xf>
    <xf numFmtId="0" fontId="11" fillId="0" borderId="0" xfId="0" applyFont="1" applyBorder="1"/>
    <xf numFmtId="1" fontId="9" fillId="0" borderId="0" xfId="0" applyNumberFormat="1" applyFont="1" applyAlignment="1" applyProtection="1">
      <alignment horizontal="center"/>
      <protection locked="0"/>
    </xf>
    <xf numFmtId="0" fontId="23" fillId="0" borderId="0" xfId="0" applyFont="1" applyBorder="1" applyAlignment="1">
      <alignment horizontal="center"/>
    </xf>
    <xf numFmtId="2" fontId="9" fillId="0" borderId="0" xfId="0" applyNumberFormat="1" applyFont="1" applyBorder="1" applyAlignment="1">
      <alignment horizontal="center"/>
    </xf>
    <xf numFmtId="168" fontId="9" fillId="0" borderId="0" xfId="0" applyNumberFormat="1" applyFont="1" applyBorder="1" applyAlignment="1" applyProtection="1">
      <alignment horizontal="right"/>
      <protection locked="0"/>
    </xf>
    <xf numFmtId="0" fontId="9" fillId="0" borderId="0" xfId="0" quotePrefix="1" applyFont="1" applyBorder="1" applyProtection="1">
      <protection locked="0"/>
    </xf>
    <xf numFmtId="1" fontId="9" fillId="0" borderId="0" xfId="0" applyNumberFormat="1" applyFont="1" applyBorder="1" applyProtection="1">
      <protection locked="0"/>
    </xf>
    <xf numFmtId="167" fontId="9" fillId="0" borderId="0" xfId="0" applyNumberFormat="1" applyFont="1" applyProtection="1">
      <protection locked="0"/>
    </xf>
    <xf numFmtId="0" fontId="9" fillId="0" borderId="0" xfId="0" quotePrefix="1" applyFont="1" applyProtection="1">
      <protection locked="0"/>
    </xf>
    <xf numFmtId="167" fontId="9" fillId="0" borderId="0" xfId="0" applyNumberFormat="1" applyFont="1" applyBorder="1" applyAlignment="1" applyProtection="1">
      <alignment horizontal="center"/>
      <protection locked="0"/>
    </xf>
    <xf numFmtId="11" fontId="9" fillId="0" borderId="0" xfId="0" applyNumberFormat="1" applyFont="1" applyBorder="1" applyProtection="1">
      <protection locked="0"/>
    </xf>
    <xf numFmtId="0" fontId="9" fillId="0" borderId="0" xfId="4" applyFont="1" applyProtection="1">
      <protection locked="0"/>
    </xf>
    <xf numFmtId="0" fontId="9" fillId="0" borderId="0" xfId="4" applyFont="1" applyAlignment="1" applyProtection="1">
      <alignment horizontal="right"/>
      <protection locked="0"/>
    </xf>
    <xf numFmtId="0" fontId="25" fillId="0" borderId="0" xfId="4" applyFont="1" applyProtection="1">
      <protection locked="0"/>
    </xf>
    <xf numFmtId="0" fontId="25" fillId="0" borderId="0" xfId="4" applyFont="1" applyAlignment="1" applyProtection="1">
      <alignment horizontal="left"/>
      <protection locked="0"/>
    </xf>
    <xf numFmtId="0" fontId="9" fillId="0" borderId="0" xfId="4" applyFont="1"/>
    <xf numFmtId="0" fontId="9" fillId="0" borderId="0" xfId="4" applyFont="1" applyAlignment="1">
      <alignment horizontal="right"/>
    </xf>
    <xf numFmtId="0" fontId="11" fillId="0" borderId="0" xfId="4" applyFont="1" applyAlignment="1">
      <alignment horizontal="left"/>
    </xf>
    <xf numFmtId="14" fontId="25" fillId="0" borderId="0" xfId="4" quotePrefix="1" applyNumberFormat="1" applyFont="1" applyProtection="1">
      <protection locked="0"/>
    </xf>
    <xf numFmtId="0" fontId="12" fillId="0" borderId="0" xfId="4" applyFont="1" applyAlignment="1" applyProtection="1">
      <alignment horizontal="left"/>
      <protection locked="0"/>
    </xf>
    <xf numFmtId="0" fontId="9" fillId="0" borderId="0" xfId="5" applyFont="1"/>
    <xf numFmtId="0" fontId="11" fillId="0" borderId="0" xfId="4" applyFont="1"/>
    <xf numFmtId="0" fontId="11" fillId="0" borderId="0" xfId="4" quotePrefix="1" applyFont="1" applyAlignment="1">
      <alignment vertical="center"/>
    </xf>
    <xf numFmtId="0" fontId="11" fillId="0" borderId="0" xfId="4" applyFont="1" applyAlignment="1">
      <alignment vertical="center"/>
    </xf>
    <xf numFmtId="0" fontId="9" fillId="0" borderId="0" xfId="4" applyFont="1" applyAlignment="1">
      <alignment horizontal="center"/>
    </xf>
    <xf numFmtId="0" fontId="11" fillId="0" borderId="0" xfId="4" applyFont="1" applyAlignment="1">
      <alignment horizontal="right"/>
    </xf>
    <xf numFmtId="0" fontId="7" fillId="0" borderId="0" xfId="4" applyFont="1"/>
    <xf numFmtId="0" fontId="8" fillId="0" borderId="0" xfId="4" applyFont="1"/>
    <xf numFmtId="0" fontId="22" fillId="0" borderId="0" xfId="4" applyFont="1"/>
    <xf numFmtId="0" fontId="9" fillId="0" borderId="0" xfId="4" applyFont="1" applyBorder="1" applyAlignment="1"/>
    <xf numFmtId="0" fontId="22" fillId="0" borderId="0" xfId="4" applyFont="1" applyBorder="1" applyAlignment="1"/>
    <xf numFmtId="0" fontId="9" fillId="0" borderId="7" xfId="2" applyFont="1" applyBorder="1" applyAlignment="1">
      <alignment horizontal="center"/>
    </xf>
    <xf numFmtId="0" fontId="9" fillId="0" borderId="2" xfId="2" applyFont="1" applyBorder="1" applyAlignment="1">
      <alignment horizontal="center"/>
    </xf>
    <xf numFmtId="0" fontId="18" fillId="0" borderId="2" xfId="0" applyFont="1" applyBorder="1" applyAlignment="1">
      <alignment horizontal="center" vertical="center"/>
    </xf>
    <xf numFmtId="1" fontId="9" fillId="0" borderId="3" xfId="0" applyNumberFormat="1" applyFont="1" applyBorder="1"/>
    <xf numFmtId="1" fontId="9" fillId="0" borderId="4" xfId="0" applyNumberFormat="1" applyFont="1" applyBorder="1" applyAlignment="1">
      <alignment horizontal="center"/>
    </xf>
    <xf numFmtId="1" fontId="9" fillId="0" borderId="3" xfId="0" applyNumberFormat="1" applyFont="1" applyBorder="1" applyAlignment="1">
      <alignment horizontal="center"/>
    </xf>
    <xf numFmtId="0" fontId="9" fillId="0" borderId="3" xfId="0" applyFont="1" applyBorder="1" applyAlignment="1" applyProtection="1">
      <alignment horizontal="center"/>
      <protection locked="0"/>
    </xf>
    <xf numFmtId="0" fontId="9" fillId="0" borderId="1" xfId="0" applyFont="1" applyBorder="1" applyAlignment="1">
      <alignment horizontal="center"/>
    </xf>
    <xf numFmtId="0" fontId="9" fillId="0" borderId="1" xfId="2" applyFont="1" applyBorder="1" applyAlignment="1">
      <alignment horizontal="center"/>
    </xf>
    <xf numFmtId="0" fontId="18" fillId="0" borderId="1" xfId="0" applyFont="1" applyBorder="1" applyAlignment="1">
      <alignment horizontal="center" vertical="center"/>
    </xf>
    <xf numFmtId="1" fontId="24" fillId="0" borderId="0" xfId="0" applyNumberFormat="1" applyFont="1" applyBorder="1" applyAlignment="1" applyProtection="1">
      <alignment horizontal="center"/>
      <protection locked="0"/>
    </xf>
    <xf numFmtId="2" fontId="24" fillId="0" borderId="0" xfId="0" applyNumberFormat="1" applyFont="1" applyBorder="1" applyProtection="1">
      <protection locked="0"/>
    </xf>
    <xf numFmtId="1" fontId="24" fillId="0" borderId="0" xfId="0" applyNumberFormat="1" applyFont="1" applyBorder="1" applyProtection="1">
      <protection locked="0"/>
    </xf>
    <xf numFmtId="0" fontId="27" fillId="0" borderId="0" xfId="1" applyFont="1" applyFill="1" applyBorder="1"/>
    <xf numFmtId="0" fontId="27" fillId="0" borderId="0" xfId="1" applyFont="1" applyFill="1" applyBorder="1" applyAlignment="1">
      <alignment horizontal="center"/>
    </xf>
    <xf numFmtId="0" fontId="28" fillId="0" borderId="0" xfId="1" applyFont="1" applyFill="1" applyBorder="1" applyAlignment="1">
      <alignment horizontal="center"/>
    </xf>
    <xf numFmtId="0" fontId="27" fillId="0" borderId="0" xfId="1" applyNumberFormat="1" applyFont="1" applyFill="1" applyBorder="1"/>
    <xf numFmtId="0" fontId="28" fillId="0" borderId="0" xfId="1" applyNumberFormat="1" applyFont="1" applyFill="1" applyBorder="1"/>
    <xf numFmtId="0" fontId="29" fillId="0" borderId="0" xfId="1" applyNumberFormat="1" applyFont="1" applyFill="1" applyBorder="1"/>
    <xf numFmtId="0" fontId="27" fillId="0" borderId="0" xfId="1" quotePrefix="1" applyNumberFormat="1" applyFont="1" applyFill="1" applyBorder="1"/>
    <xf numFmtId="0" fontId="28" fillId="0" borderId="0" xfId="1" applyNumberFormat="1" applyFont="1" applyFill="1" applyBorder="1" applyAlignment="1">
      <alignment horizontal="left"/>
    </xf>
    <xf numFmtId="169" fontId="28" fillId="0" borderId="0" xfId="1" applyNumberFormat="1" applyFont="1" applyFill="1" applyBorder="1" applyAlignment="1">
      <alignment horizontal="center"/>
    </xf>
    <xf numFmtId="0" fontId="2" fillId="0" borderId="0" xfId="2" applyFont="1" applyFill="1" applyBorder="1" applyAlignment="1">
      <alignment horizontal="center"/>
    </xf>
    <xf numFmtId="170" fontId="28" fillId="0" borderId="0" xfId="1" applyNumberFormat="1" applyFont="1" applyFill="1" applyBorder="1" applyAlignment="1">
      <alignment horizontal="center"/>
    </xf>
    <xf numFmtId="0" fontId="2" fillId="0" borderId="0" xfId="2" applyFont="1" applyFill="1" applyBorder="1"/>
    <xf numFmtId="0" fontId="28" fillId="0" borderId="0" xfId="1" quotePrefix="1" applyNumberFormat="1" applyFont="1" applyFill="1" applyBorder="1" applyAlignment="1">
      <alignment horizontal="left"/>
    </xf>
    <xf numFmtId="0" fontId="28" fillId="0" borderId="0" xfId="1" applyFont="1" applyFill="1" applyBorder="1"/>
    <xf numFmtId="0" fontId="27" fillId="0" borderId="0" xfId="1" quotePrefix="1" applyFont="1" applyFill="1" applyBorder="1" applyAlignment="1">
      <alignment horizontal="center"/>
    </xf>
    <xf numFmtId="0" fontId="30" fillId="0" borderId="0" xfId="1" applyFont="1" applyFill="1" applyBorder="1"/>
    <xf numFmtId="0" fontId="31" fillId="0" borderId="0" xfId="1" applyFont="1" applyFill="1" applyBorder="1" applyAlignment="1">
      <alignment horizontal="center"/>
    </xf>
    <xf numFmtId="0" fontId="30" fillId="0" borderId="0" xfId="1" applyNumberFormat="1" applyFont="1" applyFill="1" applyBorder="1"/>
    <xf numFmtId="0" fontId="31" fillId="0" borderId="0" xfId="1" applyNumberFormat="1" applyFont="1" applyFill="1" applyBorder="1"/>
    <xf numFmtId="0" fontId="27" fillId="0" borderId="0" xfId="1" applyFont="1" applyFill="1" applyBorder="1" applyAlignment="1">
      <alignment horizontal="left"/>
    </xf>
    <xf numFmtId="0" fontId="32" fillId="0" borderId="0" xfId="1" applyFont="1" applyFill="1" applyBorder="1"/>
    <xf numFmtId="0" fontId="30" fillId="0" borderId="0" xfId="1" applyFont="1" applyFill="1" applyBorder="1" applyAlignment="1">
      <alignment horizontal="center"/>
    </xf>
    <xf numFmtId="0" fontId="33" fillId="0" borderId="0" xfId="1" applyNumberFormat="1" applyFont="1" applyFill="1" applyBorder="1"/>
    <xf numFmtId="0" fontId="11" fillId="0" borderId="0" xfId="0" applyFont="1" applyAlignment="1">
      <alignment horizontal="center"/>
    </xf>
    <xf numFmtId="0" fontId="24" fillId="0" borderId="0" xfId="0" applyFont="1" applyAlignment="1">
      <alignment horizontal="center"/>
    </xf>
    <xf numFmtId="0" fontId="9" fillId="0" borderId="0" xfId="4" applyFont="1" applyBorder="1" applyAlignment="1">
      <alignment horizontal="center"/>
    </xf>
    <xf numFmtId="0" fontId="9" fillId="0" borderId="0" xfId="4" applyFont="1" applyBorder="1"/>
    <xf numFmtId="0" fontId="9" fillId="0" borderId="0" xfId="4" applyFont="1" applyBorder="1" applyAlignment="1">
      <alignment horizontal="right"/>
    </xf>
    <xf numFmtId="0" fontId="11" fillId="0" borderId="0" xfId="4" applyFont="1" applyBorder="1" applyAlignment="1">
      <alignment horizontal="left"/>
    </xf>
    <xf numFmtId="0" fontId="9" fillId="0" borderId="0" xfId="5" applyFont="1" applyBorder="1" applyAlignment="1">
      <alignment horizontal="center"/>
    </xf>
    <xf numFmtId="1" fontId="9" fillId="0" borderId="0" xfId="5" applyNumberFormat="1" applyFont="1" applyBorder="1" applyAlignment="1">
      <alignment horizontal="center"/>
    </xf>
    <xf numFmtId="0" fontId="7" fillId="0" borderId="0" xfId="4" applyFont="1" applyBorder="1" applyAlignment="1">
      <alignment horizontal="center"/>
    </xf>
    <xf numFmtId="0" fontId="7" fillId="0" borderId="0" xfId="4" applyFont="1" applyBorder="1"/>
    <xf numFmtId="165" fontId="9" fillId="0" borderId="0" xfId="5" applyNumberFormat="1" applyFont="1" applyBorder="1" applyAlignment="1">
      <alignment horizontal="center"/>
    </xf>
    <xf numFmtId="0" fontId="34" fillId="0" borderId="0" xfId="6" applyFont="1" applyBorder="1" applyAlignment="1" applyProtection="1">
      <alignment horizontal="center"/>
      <protection locked="0"/>
    </xf>
    <xf numFmtId="0" fontId="35" fillId="0" borderId="0" xfId="2" applyFont="1"/>
    <xf numFmtId="17" fontId="35" fillId="0" borderId="0" xfId="2" quotePrefix="1" applyNumberFormat="1" applyFont="1"/>
    <xf numFmtId="0" fontId="35" fillId="0" borderId="0" xfId="2" applyFont="1" applyAlignment="1">
      <alignment horizontal="left"/>
    </xf>
    <xf numFmtId="0" fontId="36" fillId="0" borderId="0" xfId="2" applyFont="1" applyAlignment="1">
      <alignment horizontal="left"/>
    </xf>
    <xf numFmtId="0" fontId="9" fillId="0" borderId="0" xfId="4" applyFont="1" applyBorder="1" applyAlignment="1">
      <alignment horizontal="left" vertical="top" wrapText="1"/>
    </xf>
    <xf numFmtId="0" fontId="26" fillId="0" borderId="0" xfId="6" applyBorder="1" applyAlignment="1" applyProtection="1">
      <alignment horizontal="center"/>
    </xf>
    <xf numFmtId="0" fontId="26" fillId="0" borderId="0" xfId="8" applyBorder="1" applyAlignment="1" applyProtection="1">
      <alignment horizontal="center"/>
    </xf>
    <xf numFmtId="0" fontId="26" fillId="0" borderId="0" xfId="8" applyBorder="1" applyAlignment="1" applyProtection="1">
      <alignment horizontal="center"/>
    </xf>
    <xf numFmtId="0" fontId="37" fillId="0" borderId="0" xfId="6" applyFont="1" applyBorder="1" applyAlignment="1" applyProtection="1">
      <alignment horizontal="center"/>
    </xf>
    <xf numFmtId="0" fontId="26" fillId="0" borderId="0" xfId="8" applyFont="1" applyBorder="1" applyAlignment="1" applyProtection="1">
      <alignment horizontal="center"/>
    </xf>
    <xf numFmtId="0" fontId="26" fillId="0" borderId="0" xfId="6" applyAlignment="1" applyProtection="1"/>
    <xf numFmtId="0" fontId="2" fillId="0" borderId="0" xfId="2" applyNumberFormat="1" applyFont="1" applyFill="1" applyBorder="1" applyAlignment="1">
      <alignment horizontal="center"/>
    </xf>
    <xf numFmtId="0" fontId="9" fillId="0" borderId="0" xfId="4" applyFont="1" applyBorder="1" applyAlignment="1">
      <alignment horizontal="left" vertical="top" wrapText="1"/>
    </xf>
    <xf numFmtId="0" fontId="9" fillId="0" borderId="0" xfId="4" applyFont="1" applyBorder="1" applyAlignment="1">
      <alignment horizontal="left" wrapText="1"/>
    </xf>
    <xf numFmtId="0" fontId="26" fillId="0" borderId="0" xfId="8" applyBorder="1" applyAlignment="1" applyProtection="1">
      <alignment horizontal="center"/>
    </xf>
    <xf numFmtId="0" fontId="38" fillId="0" borderId="0" xfId="0" applyFont="1" applyBorder="1" applyAlignment="1" applyProtection="1">
      <alignment horizontal="left"/>
      <protection locked="0"/>
    </xf>
    <xf numFmtId="0" fontId="15" fillId="0" borderId="0" xfId="0" applyFont="1" applyBorder="1" applyAlignment="1" applyProtection="1">
      <alignment horizontal="left" vertical="top" wrapText="1"/>
      <protection locked="0"/>
    </xf>
    <xf numFmtId="2" fontId="11" fillId="0" borderId="0" xfId="0" applyNumberFormat="1"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0" xfId="0" applyFont="1" applyAlignment="1">
      <alignment horizontal="left" vertical="top" wrapText="1"/>
    </xf>
    <xf numFmtId="0" fontId="26" fillId="0" borderId="0" xfId="6" applyAlignment="1" applyProtection="1">
      <alignment horizontal="left"/>
    </xf>
  </cellXfs>
  <cellStyles count="9">
    <cellStyle name="Hyperlink" xfId="6" builtinId="8"/>
    <cellStyle name="Hyperlink 2" xfId="8"/>
    <cellStyle name="Normal" xfId="0" builtinId="0"/>
    <cellStyle name="Normal 2" xfId="2"/>
    <cellStyle name="Normal 2 2" xfId="4"/>
    <cellStyle name="Normal 3" xfId="7"/>
    <cellStyle name="Normal 4" xfId="5"/>
    <cellStyle name="Normal_MAT" xfId="1"/>
    <cellStyle name="Percent" xfId="3" builtinId="5"/>
  </cellStyles>
  <dxfs count="1">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Full Range Stress Strain Curve - Longitudinal Direction</a:t>
            </a:r>
          </a:p>
        </c:rich>
      </c:tx>
      <c:layout>
        <c:manualLayout>
          <c:xMode val="edge"/>
          <c:yMode val="edge"/>
          <c:x val="0.18933932385089441"/>
          <c:y val="1.6270951742542981E-2"/>
        </c:manualLayout>
      </c:layout>
      <c:overlay val="0"/>
      <c:spPr>
        <a:noFill/>
        <a:ln w="25400">
          <a:noFill/>
        </a:ln>
      </c:spPr>
    </c:title>
    <c:autoTitleDeleted val="0"/>
    <c:plotArea>
      <c:layout>
        <c:manualLayout>
          <c:layoutTarget val="inner"/>
          <c:xMode val="edge"/>
          <c:yMode val="edge"/>
          <c:x val="9.6478193280109051E-2"/>
          <c:y val="0.10368663594470054"/>
          <c:w val="0.85941897256941902"/>
          <c:h val="0.8040977611611495"/>
        </c:manualLayout>
      </c:layout>
      <c:scatterChart>
        <c:scatterStyle val="lineMarker"/>
        <c:varyColors val="0"/>
        <c:ser>
          <c:idx val="0"/>
          <c:order val="0"/>
          <c:tx>
            <c:v>Plastic Stress/Strain Curve</c:v>
          </c:tx>
          <c:spPr>
            <a:ln w="12700">
              <a:solidFill>
                <a:schemeClr val="tx1"/>
              </a:solidFill>
              <a:prstDash val="solid"/>
            </a:ln>
          </c:spPr>
          <c:marker>
            <c:symbol val="none"/>
          </c:marker>
          <c:xVal>
            <c:numRef>
              <c:f>Sheet1!$AD$74:$AD$112</c:f>
              <c:numCache>
                <c:formatCode>0.0000</c:formatCode>
                <c:ptCount val="39"/>
                <c:pt idx="0">
                  <c:v>0</c:v>
                </c:pt>
                <c:pt idx="1">
                  <c:v>1.9417475728155341E-4</c:v>
                </c:pt>
                <c:pt idx="2">
                  <c:v>3.8834951456310682E-4</c:v>
                </c:pt>
                <c:pt idx="3">
                  <c:v>5.8252427184466023E-4</c:v>
                </c:pt>
                <c:pt idx="4">
                  <c:v>7.7669902912621386E-4</c:v>
                </c:pt>
                <c:pt idx="5">
                  <c:v>9.7087378640777551E-4</c:v>
                </c:pt>
                <c:pt idx="6">
                  <c:v>1.1650485436895113E-3</c:v>
                </c:pt>
                <c:pt idx="7">
                  <c:v>1.3592233009734952E-3</c:v>
                </c:pt>
                <c:pt idx="8">
                  <c:v>1.5533980582778022E-3</c:v>
                </c:pt>
                <c:pt idx="9">
                  <c:v>1.7475728157219106E-3</c:v>
                </c:pt>
                <c:pt idx="10">
                  <c:v>1.9417475739424025E-3</c:v>
                </c:pt>
                <c:pt idx="11">
                  <c:v>2.1359223357928108E-3</c:v>
                </c:pt>
                <c:pt idx="12">
                  <c:v>2.3300971123794709E-3</c:v>
                </c:pt>
                <c:pt idx="13">
                  <c:v>2.5242719421390068E-3</c:v>
                </c:pt>
                <c:pt idx="14">
                  <c:v>2.7184469455391312E-3</c:v>
                </c:pt>
                <c:pt idx="15">
                  <c:v>2.9126224694831786E-3</c:v>
                </c:pt>
                <c:pt idx="16">
                  <c:v>3.1067994424336474E-3</c:v>
                </c:pt>
                <c:pt idx="17">
                  <c:v>3.3009801956963968E-3</c:v>
                </c:pt>
                <c:pt idx="18">
                  <c:v>3.4951702634169208E-3</c:v>
                </c:pt>
                <c:pt idx="19">
                  <c:v>3.6893821451030816E-3</c:v>
                </c:pt>
                <c:pt idx="20">
                  <c:v>3.8836428465400287E-3</c:v>
                </c:pt>
                <c:pt idx="21">
                  <c:v>4.0780084361015162E-3</c:v>
                </c:pt>
                <c:pt idx="22">
                  <c:v>4.2725912100495854E-3</c:v>
                </c:pt>
                <c:pt idx="23">
                  <c:v>4.4676088659507734E-3</c:v>
                </c:pt>
                <c:pt idx="24">
                  <c:v>4.6634710835282492E-3</c:v>
                </c:pt>
                <c:pt idx="25">
                  <c:v>4.8609281700343022E-3</c:v>
                </c:pt>
                <c:pt idx="26">
                  <c:v>5.0613204322622306E-3</c:v>
                </c:pt>
                <c:pt idx="27">
                  <c:v>5.2669877456109071E-3</c:v>
                </c:pt>
                <c:pt idx="28">
                  <c:v>5.4819292001571998E-3</c:v>
                </c:pt>
                <c:pt idx="29">
                  <c:v>5.7128464735231475E-3</c:v>
                </c:pt>
                <c:pt idx="30">
                  <c:v>5.9707667011315805E-3</c:v>
                </c:pt>
                <c:pt idx="31">
                  <c:v>6.2735276399678817E-3</c:v>
                </c:pt>
                <c:pt idx="32">
                  <c:v>6.6495283717392792E-3</c:v>
                </c:pt>
                <c:pt idx="33">
                  <c:v>7.1433136365263135E-3</c:v>
                </c:pt>
                <c:pt idx="34">
                  <c:v>7.8237831336711774E-3</c:v>
                </c:pt>
                <c:pt idx="35">
                  <c:v>8.7961165048543698E-3</c:v>
                </c:pt>
                <c:pt idx="36">
                  <c:v>1.221532214584764E-2</c:v>
                </c:pt>
                <c:pt idx="37">
                  <c:v>2.0480435445412365E-2</c:v>
                </c:pt>
                <c:pt idx="38">
                  <c:v>4.038009088057018E-2</c:v>
                </c:pt>
              </c:numCache>
            </c:numRef>
          </c:xVal>
          <c:yVal>
            <c:numRef>
              <c:f>Sheet1!$AB$74:$AB$112</c:f>
              <c:numCache>
                <c:formatCode>General</c:formatCode>
                <c:ptCount val="39"/>
                <c:pt idx="0">
                  <c:v>0</c:v>
                </c:pt>
                <c:pt idx="1">
                  <c:v>2000</c:v>
                </c:pt>
                <c:pt idx="2">
                  <c:v>4000</c:v>
                </c:pt>
                <c:pt idx="3">
                  <c:v>6000</c:v>
                </c:pt>
                <c:pt idx="4">
                  <c:v>8000</c:v>
                </c:pt>
                <c:pt idx="5">
                  <c:v>10000</c:v>
                </c:pt>
                <c:pt idx="6">
                  <c:v>12000</c:v>
                </c:pt>
                <c:pt idx="7">
                  <c:v>14000</c:v>
                </c:pt>
                <c:pt idx="8">
                  <c:v>16000</c:v>
                </c:pt>
                <c:pt idx="9">
                  <c:v>18000</c:v>
                </c:pt>
                <c:pt idx="10">
                  <c:v>20000</c:v>
                </c:pt>
                <c:pt idx="11">
                  <c:v>22000</c:v>
                </c:pt>
                <c:pt idx="12">
                  <c:v>24000</c:v>
                </c:pt>
                <c:pt idx="13">
                  <c:v>26000</c:v>
                </c:pt>
                <c:pt idx="14">
                  <c:v>28000</c:v>
                </c:pt>
                <c:pt idx="15">
                  <c:v>30000</c:v>
                </c:pt>
                <c:pt idx="16">
                  <c:v>32000</c:v>
                </c:pt>
                <c:pt idx="17">
                  <c:v>34000</c:v>
                </c:pt>
                <c:pt idx="18">
                  <c:v>36000</c:v>
                </c:pt>
                <c:pt idx="19">
                  <c:v>38000</c:v>
                </c:pt>
                <c:pt idx="20">
                  <c:v>40000</c:v>
                </c:pt>
                <c:pt idx="21">
                  <c:v>42000</c:v>
                </c:pt>
                <c:pt idx="22">
                  <c:v>44000</c:v>
                </c:pt>
                <c:pt idx="23">
                  <c:v>46000</c:v>
                </c:pt>
                <c:pt idx="24">
                  <c:v>48000</c:v>
                </c:pt>
                <c:pt idx="25">
                  <c:v>50000</c:v>
                </c:pt>
                <c:pt idx="26">
                  <c:v>52000</c:v>
                </c:pt>
                <c:pt idx="27">
                  <c:v>54000</c:v>
                </c:pt>
                <c:pt idx="28">
                  <c:v>56000</c:v>
                </c:pt>
                <c:pt idx="29">
                  <c:v>58000</c:v>
                </c:pt>
                <c:pt idx="30">
                  <c:v>60000</c:v>
                </c:pt>
                <c:pt idx="31">
                  <c:v>62000</c:v>
                </c:pt>
                <c:pt idx="32">
                  <c:v>64000</c:v>
                </c:pt>
                <c:pt idx="33">
                  <c:v>66000</c:v>
                </c:pt>
                <c:pt idx="34">
                  <c:v>68000</c:v>
                </c:pt>
                <c:pt idx="35">
                  <c:v>70000</c:v>
                </c:pt>
                <c:pt idx="36">
                  <c:v>72000</c:v>
                </c:pt>
                <c:pt idx="37">
                  <c:v>74000</c:v>
                </c:pt>
                <c:pt idx="38">
                  <c:v>76000</c:v>
                </c:pt>
              </c:numCache>
            </c:numRef>
          </c:yVal>
          <c:smooth val="1"/>
          <c:extLst>
            <c:ext xmlns:c16="http://schemas.microsoft.com/office/drawing/2014/chart" uri="{C3380CC4-5D6E-409C-BE32-E72D297353CC}">
              <c16:uniqueId val="{00000000-2789-4C69-AC2C-2D6559F36E56}"/>
            </c:ext>
          </c:extLst>
        </c:ser>
        <c:ser>
          <c:idx val="1"/>
          <c:order val="1"/>
          <c:tx>
            <c:v>Elastic Stress/Strain Curve</c:v>
          </c:tx>
          <c:spPr>
            <a:ln w="12700">
              <a:solidFill>
                <a:srgbClr val="000000"/>
              </a:solidFill>
              <a:prstDash val="dash"/>
            </a:ln>
          </c:spPr>
          <c:marker>
            <c:symbol val="none"/>
          </c:marker>
          <c:xVal>
            <c:numRef>
              <c:f>Sheet1!$AD$74:$AD$112</c:f>
              <c:numCache>
                <c:formatCode>0.0000</c:formatCode>
                <c:ptCount val="39"/>
                <c:pt idx="0">
                  <c:v>0</c:v>
                </c:pt>
                <c:pt idx="1">
                  <c:v>1.9417475728155341E-4</c:v>
                </c:pt>
                <c:pt idx="2">
                  <c:v>3.8834951456310682E-4</c:v>
                </c:pt>
                <c:pt idx="3">
                  <c:v>5.8252427184466023E-4</c:v>
                </c:pt>
                <c:pt idx="4">
                  <c:v>7.7669902912621386E-4</c:v>
                </c:pt>
                <c:pt idx="5">
                  <c:v>9.7087378640777551E-4</c:v>
                </c:pt>
                <c:pt idx="6">
                  <c:v>1.1650485436895113E-3</c:v>
                </c:pt>
                <c:pt idx="7">
                  <c:v>1.3592233009734952E-3</c:v>
                </c:pt>
                <c:pt idx="8">
                  <c:v>1.5533980582778022E-3</c:v>
                </c:pt>
                <c:pt idx="9">
                  <c:v>1.7475728157219106E-3</c:v>
                </c:pt>
                <c:pt idx="10">
                  <c:v>1.9417475739424025E-3</c:v>
                </c:pt>
                <c:pt idx="11">
                  <c:v>2.1359223357928108E-3</c:v>
                </c:pt>
                <c:pt idx="12">
                  <c:v>2.3300971123794709E-3</c:v>
                </c:pt>
                <c:pt idx="13">
                  <c:v>2.5242719421390068E-3</c:v>
                </c:pt>
                <c:pt idx="14">
                  <c:v>2.7184469455391312E-3</c:v>
                </c:pt>
                <c:pt idx="15">
                  <c:v>2.9126224694831786E-3</c:v>
                </c:pt>
                <c:pt idx="16">
                  <c:v>3.1067994424336474E-3</c:v>
                </c:pt>
                <c:pt idx="17">
                  <c:v>3.3009801956963968E-3</c:v>
                </c:pt>
                <c:pt idx="18">
                  <c:v>3.4951702634169208E-3</c:v>
                </c:pt>
                <c:pt idx="19">
                  <c:v>3.6893821451030816E-3</c:v>
                </c:pt>
                <c:pt idx="20">
                  <c:v>3.8836428465400287E-3</c:v>
                </c:pt>
                <c:pt idx="21">
                  <c:v>4.0780084361015162E-3</c:v>
                </c:pt>
                <c:pt idx="22">
                  <c:v>4.2725912100495854E-3</c:v>
                </c:pt>
                <c:pt idx="23">
                  <c:v>4.4676088659507734E-3</c:v>
                </c:pt>
                <c:pt idx="24">
                  <c:v>4.6634710835282492E-3</c:v>
                </c:pt>
                <c:pt idx="25">
                  <c:v>4.8609281700343022E-3</c:v>
                </c:pt>
                <c:pt idx="26">
                  <c:v>5.0613204322622306E-3</c:v>
                </c:pt>
                <c:pt idx="27">
                  <c:v>5.2669877456109071E-3</c:v>
                </c:pt>
                <c:pt idx="28">
                  <c:v>5.4819292001571998E-3</c:v>
                </c:pt>
                <c:pt idx="29">
                  <c:v>5.7128464735231475E-3</c:v>
                </c:pt>
                <c:pt idx="30">
                  <c:v>5.9707667011315805E-3</c:v>
                </c:pt>
                <c:pt idx="31">
                  <c:v>6.2735276399678817E-3</c:v>
                </c:pt>
                <c:pt idx="32">
                  <c:v>6.6495283717392792E-3</c:v>
                </c:pt>
                <c:pt idx="33">
                  <c:v>7.1433136365263135E-3</c:v>
                </c:pt>
                <c:pt idx="34">
                  <c:v>7.8237831336711774E-3</c:v>
                </c:pt>
                <c:pt idx="35">
                  <c:v>8.7961165048543698E-3</c:v>
                </c:pt>
                <c:pt idx="36">
                  <c:v>1.221532214584764E-2</c:v>
                </c:pt>
                <c:pt idx="37">
                  <c:v>2.0480435445412365E-2</c:v>
                </c:pt>
                <c:pt idx="38">
                  <c:v>4.038009088057018E-2</c:v>
                </c:pt>
              </c:numCache>
            </c:numRef>
          </c:xVal>
          <c:yVal>
            <c:numRef>
              <c:f>Sheet1!$AA$74:$AA$112</c:f>
              <c:numCache>
                <c:formatCode>0</c:formatCode>
                <c:ptCount val="39"/>
                <c:pt idx="0">
                  <c:v>0</c:v>
                </c:pt>
                <c:pt idx="1">
                  <c:v>2000.0000000000002</c:v>
                </c:pt>
                <c:pt idx="2">
                  <c:v>4000.0000000000005</c:v>
                </c:pt>
                <c:pt idx="3">
                  <c:v>6000</c:v>
                </c:pt>
                <c:pt idx="4">
                  <c:v>8000.0000000000027</c:v>
                </c:pt>
                <c:pt idx="5">
                  <c:v>10000.000000000087</c:v>
                </c:pt>
                <c:pt idx="6">
                  <c:v>12000.000000001966</c:v>
                </c:pt>
                <c:pt idx="7">
                  <c:v>14000.000000026999</c:v>
                </c:pt>
                <c:pt idx="8">
                  <c:v>16000.000000261363</c:v>
                </c:pt>
                <c:pt idx="9">
                  <c:v>18000.000001935678</c:v>
                </c:pt>
                <c:pt idx="10">
                  <c:v>20000.000011606746</c:v>
                </c:pt>
                <c:pt idx="11">
                  <c:v>22000.000058665952</c:v>
                </c:pt>
                <c:pt idx="12">
                  <c:v>24000.000257508549</c:v>
                </c:pt>
                <c:pt idx="13">
                  <c:v>26000.001004031768</c:v>
                </c:pt>
                <c:pt idx="14">
                  <c:v>28000.00353905305</c:v>
                </c:pt>
                <c:pt idx="15">
                  <c:v>30000.011435676741</c:v>
                </c:pt>
                <c:pt idx="16">
                  <c:v>32000.034257066567</c:v>
                </c:pt>
                <c:pt idx="17">
                  <c:v>34000.096015672891</c:v>
                </c:pt>
                <c:pt idx="18">
                  <c:v>36000.253713194281</c:v>
                </c:pt>
                <c:pt idx="19">
                  <c:v>38000.636094561742</c:v>
                </c:pt>
                <c:pt idx="20">
                  <c:v>40001.521319362299</c:v>
                </c:pt>
                <c:pt idx="21">
                  <c:v>42003.48689184562</c:v>
                </c:pt>
                <c:pt idx="22">
                  <c:v>44007.689463510731</c:v>
                </c:pt>
                <c:pt idx="23">
                  <c:v>46016.371319292964</c:v>
                </c:pt>
                <c:pt idx="24">
                  <c:v>48033.75216034097</c:v>
                </c:pt>
                <c:pt idx="25">
                  <c:v>50067.560151353311</c:v>
                </c:pt>
                <c:pt idx="26">
                  <c:v>52131.600452300976</c:v>
                </c:pt>
                <c:pt idx="27">
                  <c:v>54249.973779792344</c:v>
                </c:pt>
                <c:pt idx="28">
                  <c:v>56463.87076161916</c:v>
                </c:pt>
                <c:pt idx="29">
                  <c:v>58842.318677288422</c:v>
                </c:pt>
                <c:pt idx="30">
                  <c:v>61498.897021655277</c:v>
                </c:pt>
                <c:pt idx="31">
                  <c:v>64617.334691669181</c:v>
                </c:pt>
                <c:pt idx="32">
                  <c:v>68490.14222891457</c:v>
                </c:pt>
                <c:pt idx="33">
                  <c:v>73576.130456221028</c:v>
                </c:pt>
                <c:pt idx="34">
                  <c:v>80584.966276813124</c:v>
                </c:pt>
                <c:pt idx="35">
                  <c:v>90600.000000000015</c:v>
                </c:pt>
                <c:pt idx="36">
                  <c:v>125817.8181022307</c:v>
                </c:pt>
                <c:pt idx="37">
                  <c:v>210948.48508774737</c:v>
                </c:pt>
                <c:pt idx="38">
                  <c:v>415914.93606987287</c:v>
                </c:pt>
              </c:numCache>
            </c:numRef>
          </c:yVal>
          <c:smooth val="0"/>
          <c:extLst>
            <c:ext xmlns:c16="http://schemas.microsoft.com/office/drawing/2014/chart" uri="{C3380CC4-5D6E-409C-BE32-E72D297353CC}">
              <c16:uniqueId val="{00000001-2789-4C69-AC2C-2D6559F36E56}"/>
            </c:ext>
          </c:extLst>
        </c:ser>
        <c:ser>
          <c:idx val="3"/>
          <c:order val="2"/>
          <c:spPr>
            <a:ln w="12700">
              <a:solidFill>
                <a:srgbClr val="C0C0C0"/>
              </a:solidFill>
              <a:prstDash val="lgDash"/>
            </a:ln>
          </c:spPr>
          <c:marker>
            <c:symbol val="none"/>
          </c:marker>
          <c:xVal>
            <c:numRef>
              <c:f>Sheet1!$AH$74:$AH$75</c:f>
              <c:numCache>
                <c:formatCode>0.00</c:formatCode>
                <c:ptCount val="2"/>
              </c:numCache>
            </c:numRef>
          </c:xVal>
          <c:yVal>
            <c:numRef>
              <c:f>Sheet1!$AI$74:$AI$75</c:f>
              <c:numCache>
                <c:formatCode>0.00</c:formatCode>
                <c:ptCount val="2"/>
              </c:numCache>
            </c:numRef>
          </c:yVal>
          <c:smooth val="0"/>
          <c:extLst>
            <c:ext xmlns:c16="http://schemas.microsoft.com/office/drawing/2014/chart" uri="{C3380CC4-5D6E-409C-BE32-E72D297353CC}">
              <c16:uniqueId val="{00000002-2789-4C69-AC2C-2D6559F36E56}"/>
            </c:ext>
          </c:extLst>
        </c:ser>
        <c:ser>
          <c:idx val="4"/>
          <c:order val="3"/>
          <c:spPr>
            <a:ln w="12700">
              <a:solidFill>
                <a:srgbClr val="C0C0C0"/>
              </a:solidFill>
              <a:prstDash val="lgDash"/>
            </a:ln>
          </c:spPr>
          <c:marker>
            <c:symbol val="none"/>
          </c:marker>
          <c:xVal>
            <c:numRef>
              <c:f>Sheet1!$AI$88:$AI$89</c:f>
              <c:numCache>
                <c:formatCode>0.0000</c:formatCode>
                <c:ptCount val="2"/>
              </c:numCache>
            </c:numRef>
          </c:xVal>
          <c:yVal>
            <c:numRef>
              <c:f>Sheet1!$AJ$88:$AJ$89</c:f>
              <c:numCache>
                <c:formatCode>General</c:formatCode>
                <c:ptCount val="2"/>
              </c:numCache>
            </c:numRef>
          </c:yVal>
          <c:smooth val="0"/>
          <c:extLst>
            <c:ext xmlns:c16="http://schemas.microsoft.com/office/drawing/2014/chart" uri="{C3380CC4-5D6E-409C-BE32-E72D297353CC}">
              <c16:uniqueId val="{00000003-2789-4C69-AC2C-2D6559F36E56}"/>
            </c:ext>
          </c:extLst>
        </c:ser>
        <c:ser>
          <c:idx val="6"/>
          <c:order val="4"/>
          <c:spPr>
            <a:ln w="12700">
              <a:solidFill>
                <a:prstClr val="black"/>
              </a:solidFill>
            </a:ln>
          </c:spPr>
          <c:marker>
            <c:symbol val="none"/>
          </c:marker>
          <c:xVal>
            <c:numRef>
              <c:f>Sheet1!$BB$74:$BB$112</c:f>
              <c:numCache>
                <c:formatCode>0.0000</c:formatCode>
                <c:ptCount val="39"/>
                <c:pt idx="0">
                  <c:v>0</c:v>
                </c:pt>
                <c:pt idx="1">
                  <c:v>-2.380952380952381E-4</c:v>
                </c:pt>
                <c:pt idx="2">
                  <c:v>-4.7619047619047923E-4</c:v>
                </c:pt>
                <c:pt idx="3">
                  <c:v>-7.1428571428630561E-4</c:v>
                </c:pt>
                <c:pt idx="4">
                  <c:v>-9.5238095240584046E-4</c:v>
                </c:pt>
                <c:pt idx="5">
                  <c:v>-1.1904761909289025E-3</c:v>
                </c:pt>
                <c:pt idx="6">
                  <c:v>-1.4285714334151391E-3</c:v>
                </c:pt>
                <c:pt idx="7">
                  <c:v>-1.6666667025990853E-3</c:v>
                </c:pt>
                <c:pt idx="8">
                  <c:v>-1.9047621086452542E-3</c:v>
                </c:pt>
                <c:pt idx="9">
                  <c:v>-2.1428580855377037E-3</c:v>
                </c:pt>
                <c:pt idx="10">
                  <c:v>-2.3809560895689036E-3</c:v>
                </c:pt>
                <c:pt idx="11">
                  <c:v>-2.6190604221976842E-3</c:v>
                </c:pt>
                <c:pt idx="12">
                  <c:v>-2.857182536819782E-3</c:v>
                </c:pt>
                <c:pt idx="13">
                  <c:v>-3.0953504200005471E-3</c:v>
                </c:pt>
                <c:pt idx="14">
                  <c:v>-3.3336276917055462E-3</c:v>
                </c:pt>
                <c:pt idx="15">
                  <c:v>-3.5721503405471951E-3</c:v>
                </c:pt>
                <c:pt idx="16">
                  <c:v>-3.8111940219226217E-3</c:v>
                </c:pt>
                <c:pt idx="17">
                  <c:v>-4.0512922757930227E-3</c:v>
                </c:pt>
                <c:pt idx="18">
                  <c:v>-4.2934367248688033E-3</c:v>
                </c:pt>
                <c:pt idx="19">
                  <c:v>-4.5394053627377546E-3</c:v>
                </c:pt>
                <c:pt idx="20">
                  <c:v>-4.792285748455867E-3</c:v>
                </c:pt>
                <c:pt idx="21">
                  <c:v>-5.0572878812330238E-3</c:v>
                </c:pt>
                <c:pt idx="22">
                  <c:v>-5.3429786434304799E-3</c:v>
                </c:pt>
                <c:pt idx="23">
                  <c:v>-5.6631182341648351E-3</c:v>
                </c:pt>
                <c:pt idx="24">
                  <c:v>-6.0393416276538292E-3</c:v>
                </c:pt>
                <c:pt idx="25">
                  <c:v>-6.5050078784382346E-3</c:v>
                </c:pt>
                <c:pt idx="26">
                  <c:v>-7.1106406444805476E-3</c:v>
                </c:pt>
                <c:pt idx="27">
                  <c:v>-7.9315087283941665E-3</c:v>
                </c:pt>
                <c:pt idx="28">
                  <c:v>-9.75020563357561E-3</c:v>
                </c:pt>
                <c:pt idx="29">
                  <c:v>-1.5767994339960876E-2</c:v>
                </c:pt>
                <c:pt idx="30">
                  <c:v>-3.1723202823162509E-2</c:v>
                </c:pt>
                <c:pt idx="31">
                  <c:v>-7.3306953382613518E-2</c:v>
                </c:pt>
                <c:pt idx="32">
                  <c:v>-0.17898359337928277</c:v>
                </c:pt>
                <c:pt idx="33">
                  <c:v>-0.44038901528742985</c:v>
                </c:pt>
                <c:pt idx="34">
                  <c:v>-1.0700610763330365</c:v>
                </c:pt>
                <c:pt idx="35">
                  <c:v>-2.548687937293121</c:v>
                </c:pt>
                <c:pt idx="36">
                  <c:v>-5.9379167252879768</c:v>
                </c:pt>
                <c:pt idx="37">
                  <c:v>-13.530549819913103</c:v>
                </c:pt>
                <c:pt idx="38">
                  <c:v>-30.174506441991809</c:v>
                </c:pt>
              </c:numCache>
            </c:numRef>
          </c:xVal>
          <c:yVal>
            <c:numRef>
              <c:f>Sheet1!$BA$74:$BA$112</c:f>
              <c:numCache>
                <c:formatCode>General</c:formatCode>
                <c:ptCount val="39"/>
                <c:pt idx="0">
                  <c:v>0</c:v>
                </c:pt>
                <c:pt idx="1">
                  <c:v>-2500</c:v>
                </c:pt>
                <c:pt idx="2">
                  <c:v>-5000</c:v>
                </c:pt>
                <c:pt idx="3">
                  <c:v>-7500</c:v>
                </c:pt>
                <c:pt idx="4">
                  <c:v>-10000</c:v>
                </c:pt>
                <c:pt idx="5">
                  <c:v>-12500</c:v>
                </c:pt>
                <c:pt idx="6">
                  <c:v>-15000</c:v>
                </c:pt>
                <c:pt idx="7">
                  <c:v>-17500</c:v>
                </c:pt>
                <c:pt idx="8">
                  <c:v>-20000</c:v>
                </c:pt>
                <c:pt idx="9">
                  <c:v>-22500</c:v>
                </c:pt>
                <c:pt idx="10">
                  <c:v>-25000</c:v>
                </c:pt>
                <c:pt idx="11">
                  <c:v>-27500</c:v>
                </c:pt>
                <c:pt idx="12">
                  <c:v>-30000</c:v>
                </c:pt>
                <c:pt idx="13">
                  <c:v>-32500</c:v>
                </c:pt>
                <c:pt idx="14">
                  <c:v>-35000</c:v>
                </c:pt>
                <c:pt idx="15">
                  <c:v>-37500</c:v>
                </c:pt>
                <c:pt idx="16">
                  <c:v>-40000</c:v>
                </c:pt>
                <c:pt idx="17">
                  <c:v>-42500</c:v>
                </c:pt>
                <c:pt idx="18">
                  <c:v>-45000</c:v>
                </c:pt>
                <c:pt idx="19">
                  <c:v>-47500</c:v>
                </c:pt>
                <c:pt idx="20">
                  <c:v>-50000</c:v>
                </c:pt>
                <c:pt idx="21">
                  <c:v>-52500</c:v>
                </c:pt>
                <c:pt idx="22">
                  <c:v>-55000</c:v>
                </c:pt>
                <c:pt idx="23">
                  <c:v>-57500</c:v>
                </c:pt>
                <c:pt idx="24">
                  <c:v>-60000</c:v>
                </c:pt>
                <c:pt idx="25">
                  <c:v>-62500</c:v>
                </c:pt>
                <c:pt idx="26">
                  <c:v>-65000</c:v>
                </c:pt>
                <c:pt idx="27">
                  <c:v>-67500</c:v>
                </c:pt>
                <c:pt idx="28">
                  <c:v>-70000</c:v>
                </c:pt>
                <c:pt idx="29">
                  <c:v>-72500</c:v>
                </c:pt>
                <c:pt idx="30">
                  <c:v>-75000</c:v>
                </c:pt>
                <c:pt idx="31">
                  <c:v>-77500</c:v>
                </c:pt>
                <c:pt idx="32">
                  <c:v>-80000</c:v>
                </c:pt>
                <c:pt idx="33">
                  <c:v>-82500</c:v>
                </c:pt>
                <c:pt idx="34">
                  <c:v>-85000</c:v>
                </c:pt>
                <c:pt idx="35">
                  <c:v>-87500</c:v>
                </c:pt>
                <c:pt idx="36">
                  <c:v>-90000</c:v>
                </c:pt>
                <c:pt idx="37">
                  <c:v>-92500</c:v>
                </c:pt>
                <c:pt idx="38">
                  <c:v>-95000</c:v>
                </c:pt>
              </c:numCache>
            </c:numRef>
          </c:yVal>
          <c:smooth val="1"/>
          <c:extLst>
            <c:ext xmlns:c16="http://schemas.microsoft.com/office/drawing/2014/chart" uri="{C3380CC4-5D6E-409C-BE32-E72D297353CC}">
              <c16:uniqueId val="{00000004-2789-4C69-AC2C-2D6559F36E56}"/>
            </c:ext>
          </c:extLst>
        </c:ser>
        <c:ser>
          <c:idx val="7"/>
          <c:order val="5"/>
          <c:spPr>
            <a:ln w="12700">
              <a:solidFill>
                <a:schemeClr val="tx1"/>
              </a:solidFill>
              <a:prstDash val="dash"/>
            </a:ln>
          </c:spPr>
          <c:marker>
            <c:symbol val="none"/>
          </c:marker>
          <c:xVal>
            <c:numRef>
              <c:f>Sheet1!$BB$74:$BB$112</c:f>
              <c:numCache>
                <c:formatCode>0.0000</c:formatCode>
                <c:ptCount val="39"/>
                <c:pt idx="0">
                  <c:v>0</c:v>
                </c:pt>
                <c:pt idx="1">
                  <c:v>-2.380952380952381E-4</c:v>
                </c:pt>
                <c:pt idx="2">
                  <c:v>-4.7619047619047923E-4</c:v>
                </c:pt>
                <c:pt idx="3">
                  <c:v>-7.1428571428630561E-4</c:v>
                </c:pt>
                <c:pt idx="4">
                  <c:v>-9.5238095240584046E-4</c:v>
                </c:pt>
                <c:pt idx="5">
                  <c:v>-1.1904761909289025E-3</c:v>
                </c:pt>
                <c:pt idx="6">
                  <c:v>-1.4285714334151391E-3</c:v>
                </c:pt>
                <c:pt idx="7">
                  <c:v>-1.6666667025990853E-3</c:v>
                </c:pt>
                <c:pt idx="8">
                  <c:v>-1.9047621086452542E-3</c:v>
                </c:pt>
                <c:pt idx="9">
                  <c:v>-2.1428580855377037E-3</c:v>
                </c:pt>
                <c:pt idx="10">
                  <c:v>-2.3809560895689036E-3</c:v>
                </c:pt>
                <c:pt idx="11">
                  <c:v>-2.6190604221976842E-3</c:v>
                </c:pt>
                <c:pt idx="12">
                  <c:v>-2.857182536819782E-3</c:v>
                </c:pt>
                <c:pt idx="13">
                  <c:v>-3.0953504200005471E-3</c:v>
                </c:pt>
                <c:pt idx="14">
                  <c:v>-3.3336276917055462E-3</c:v>
                </c:pt>
                <c:pt idx="15">
                  <c:v>-3.5721503405471951E-3</c:v>
                </c:pt>
                <c:pt idx="16">
                  <c:v>-3.8111940219226217E-3</c:v>
                </c:pt>
                <c:pt idx="17">
                  <c:v>-4.0512922757930227E-3</c:v>
                </c:pt>
                <c:pt idx="18">
                  <c:v>-4.2934367248688033E-3</c:v>
                </c:pt>
                <c:pt idx="19">
                  <c:v>-4.5394053627377546E-3</c:v>
                </c:pt>
                <c:pt idx="20">
                  <c:v>-4.792285748455867E-3</c:v>
                </c:pt>
                <c:pt idx="21">
                  <c:v>-5.0572878812330238E-3</c:v>
                </c:pt>
                <c:pt idx="22">
                  <c:v>-5.3429786434304799E-3</c:v>
                </c:pt>
                <c:pt idx="23">
                  <c:v>-5.6631182341648351E-3</c:v>
                </c:pt>
                <c:pt idx="24">
                  <c:v>-6.0393416276538292E-3</c:v>
                </c:pt>
                <c:pt idx="25">
                  <c:v>-6.5050078784382346E-3</c:v>
                </c:pt>
                <c:pt idx="26">
                  <c:v>-7.1106406444805476E-3</c:v>
                </c:pt>
                <c:pt idx="27">
                  <c:v>-7.9315087283941665E-3</c:v>
                </c:pt>
                <c:pt idx="28">
                  <c:v>-9.75020563357561E-3</c:v>
                </c:pt>
                <c:pt idx="29">
                  <c:v>-1.5767994339960876E-2</c:v>
                </c:pt>
                <c:pt idx="30">
                  <c:v>-3.1723202823162509E-2</c:v>
                </c:pt>
                <c:pt idx="31">
                  <c:v>-7.3306953382613518E-2</c:v>
                </c:pt>
                <c:pt idx="32">
                  <c:v>-0.17898359337928277</c:v>
                </c:pt>
                <c:pt idx="33">
                  <c:v>-0.44038901528742985</c:v>
                </c:pt>
                <c:pt idx="34">
                  <c:v>-1.0700610763330365</c:v>
                </c:pt>
                <c:pt idx="35">
                  <c:v>-2.548687937293121</c:v>
                </c:pt>
                <c:pt idx="36">
                  <c:v>-5.9379167252879768</c:v>
                </c:pt>
                <c:pt idx="37">
                  <c:v>-13.530549819913103</c:v>
                </c:pt>
                <c:pt idx="38">
                  <c:v>-30.174506441991809</c:v>
                </c:pt>
              </c:numCache>
            </c:numRef>
          </c:xVal>
          <c:yVal>
            <c:numRef>
              <c:f>Sheet1!$AZ$74:$AZ$112</c:f>
              <c:numCache>
                <c:formatCode>0</c:formatCode>
                <c:ptCount val="39"/>
                <c:pt idx="0">
                  <c:v>0</c:v>
                </c:pt>
                <c:pt idx="1">
                  <c:v>-2500</c:v>
                </c:pt>
                <c:pt idx="2">
                  <c:v>-5000.0000000000318</c:v>
                </c:pt>
                <c:pt idx="3">
                  <c:v>-7500.0000000062091</c:v>
                </c:pt>
                <c:pt idx="4">
                  <c:v>-10000.000000261325</c:v>
                </c:pt>
                <c:pt idx="5">
                  <c:v>-12500.000004753476</c:v>
                </c:pt>
                <c:pt idx="6">
                  <c:v>-15000.00005085896</c:v>
                </c:pt>
                <c:pt idx="7">
                  <c:v>-17500.000377290395</c:v>
                </c:pt>
                <c:pt idx="8">
                  <c:v>-20000.00214077517</c:v>
                </c:pt>
                <c:pt idx="9">
                  <c:v>-22500.00989814589</c:v>
                </c:pt>
                <c:pt idx="10">
                  <c:v>-25000.038940473489</c:v>
                </c:pt>
                <c:pt idx="11">
                  <c:v>-27500.134433075684</c:v>
                </c:pt>
                <c:pt idx="12">
                  <c:v>-30000.416636607712</c:v>
                </c:pt>
                <c:pt idx="13">
                  <c:v>-32501.179410005745</c:v>
                </c:pt>
                <c:pt idx="14">
                  <c:v>-35003.090762908236</c:v>
                </c:pt>
                <c:pt idx="15">
                  <c:v>-37507.578575745545</c:v>
                </c:pt>
                <c:pt idx="16">
                  <c:v>-40017.537230187525</c:v>
                </c:pt>
                <c:pt idx="17">
                  <c:v>-42538.568895826742</c:v>
                </c:pt>
                <c:pt idx="18">
                  <c:v>-45081.085611122435</c:v>
                </c:pt>
                <c:pt idx="19">
                  <c:v>-47663.756308746422</c:v>
                </c:pt>
                <c:pt idx="20">
                  <c:v>-50319.000358786601</c:v>
                </c:pt>
                <c:pt idx="21">
                  <c:v>-53101.522752946752</c:v>
                </c:pt>
                <c:pt idx="22">
                  <c:v>-56101.275756020041</c:v>
                </c:pt>
                <c:pt idx="23">
                  <c:v>-59462.741458730765</c:v>
                </c:pt>
                <c:pt idx="24">
                  <c:v>-63413.08709036521</c:v>
                </c:pt>
                <c:pt idx="25">
                  <c:v>-68302.582723601459</c:v>
                </c:pt>
                <c:pt idx="26">
                  <c:v>-74661.726767045751</c:v>
                </c:pt>
                <c:pt idx="27">
                  <c:v>-83280.841648138754</c:v>
                </c:pt>
                <c:pt idx="28">
                  <c:v>-102377.1591525439</c:v>
                </c:pt>
                <c:pt idx="29">
                  <c:v>-165563.94056958921</c:v>
                </c:pt>
                <c:pt idx="30">
                  <c:v>-333093.62964320637</c:v>
                </c:pt>
                <c:pt idx="31">
                  <c:v>-769723.0105174419</c:v>
                </c:pt>
                <c:pt idx="32">
                  <c:v>-1879327.7304824691</c:v>
                </c:pt>
                <c:pt idx="33">
                  <c:v>-4624084.6605180139</c:v>
                </c:pt>
                <c:pt idx="34">
                  <c:v>-11235641.301496884</c:v>
                </c:pt>
                <c:pt idx="35">
                  <c:v>-26761223.341577772</c:v>
                </c:pt>
                <c:pt idx="36">
                  <c:v>-62348125.615523756</c:v>
                </c:pt>
                <c:pt idx="37">
                  <c:v>-142070773.10908759</c:v>
                </c:pt>
                <c:pt idx="38">
                  <c:v>-316832317.64091402</c:v>
                </c:pt>
              </c:numCache>
            </c:numRef>
          </c:yVal>
          <c:smooth val="0"/>
          <c:extLst>
            <c:ext xmlns:c16="http://schemas.microsoft.com/office/drawing/2014/chart" uri="{C3380CC4-5D6E-409C-BE32-E72D297353CC}">
              <c16:uniqueId val="{00000005-2789-4C69-AC2C-2D6559F36E56}"/>
            </c:ext>
          </c:extLst>
        </c:ser>
        <c:dLbls>
          <c:showLegendKey val="0"/>
          <c:showVal val="0"/>
          <c:showCatName val="0"/>
          <c:showSerName val="0"/>
          <c:showPercent val="0"/>
          <c:showBubbleSize val="0"/>
        </c:dLbls>
        <c:axId val="8157416"/>
        <c:axId val="542004096"/>
      </c:scatterChart>
      <c:valAx>
        <c:axId val="8157416"/>
        <c:scaling>
          <c:orientation val="minMax"/>
          <c:max val="0.05"/>
          <c:min val="-0.05"/>
        </c:scaling>
        <c:delete val="0"/>
        <c:axPos val="b"/>
        <c:majorGridlines/>
        <c:title>
          <c:tx>
            <c:rich>
              <a:bodyPr/>
              <a:lstStyle/>
              <a:p>
                <a:pPr>
                  <a:defRPr/>
                </a:pPr>
                <a:r>
                  <a:rPr lang="en-CA"/>
                  <a:t>Strain</a:t>
                </a:r>
              </a:p>
            </c:rich>
          </c:tx>
          <c:layout>
            <c:manualLayout>
              <c:xMode val="edge"/>
              <c:yMode val="edge"/>
              <c:x val="0.50303109491226172"/>
              <c:y val="0.92396306576785725"/>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542004096"/>
        <c:crosses val="autoZero"/>
        <c:crossBetween val="midCat"/>
      </c:valAx>
      <c:valAx>
        <c:axId val="542004096"/>
        <c:scaling>
          <c:orientation val="minMax"/>
          <c:max val="80000"/>
          <c:min val="-80000"/>
        </c:scaling>
        <c:delete val="0"/>
        <c:axPos val="l"/>
        <c:majorGridlines/>
        <c:title>
          <c:tx>
            <c:rich>
              <a:bodyPr/>
              <a:lstStyle/>
              <a:p>
                <a:pPr>
                  <a:defRPr/>
                </a:pPr>
                <a:r>
                  <a:rPr lang="en-CA"/>
                  <a:t>Stress (Psi)</a:t>
                </a:r>
              </a:p>
            </c:rich>
          </c:tx>
          <c:layout>
            <c:manualLayout>
              <c:xMode val="edge"/>
              <c:yMode val="edge"/>
              <c:x val="2.5757697318402887E-2"/>
              <c:y val="0.370967729753205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815741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000000000000078" r="0.75000000000000078" t="1" header="0.49212598450000034" footer="0.4921259845000003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Full Range Stress Strain Curve - Longitudinal Transverse Direction</a:t>
            </a:r>
          </a:p>
        </c:rich>
      </c:tx>
      <c:layout>
        <c:manualLayout>
          <c:xMode val="edge"/>
          <c:yMode val="edge"/>
          <c:x val="0.15710712613372541"/>
          <c:y val="2.9459380626424346E-3"/>
        </c:manualLayout>
      </c:layout>
      <c:overlay val="0"/>
      <c:spPr>
        <a:noFill/>
        <a:ln w="25400">
          <a:noFill/>
        </a:ln>
      </c:spPr>
    </c:title>
    <c:autoTitleDeleted val="0"/>
    <c:plotArea>
      <c:layout>
        <c:manualLayout>
          <c:layoutTarget val="inner"/>
          <c:xMode val="edge"/>
          <c:yMode val="edge"/>
          <c:x val="0.10072777678681129"/>
          <c:y val="0.13366810339400603"/>
          <c:w val="0.85516938906271589"/>
          <c:h val="0.77411650711578761"/>
        </c:manualLayout>
      </c:layout>
      <c:scatterChart>
        <c:scatterStyle val="lineMarker"/>
        <c:varyColors val="0"/>
        <c:ser>
          <c:idx val="0"/>
          <c:order val="0"/>
          <c:spPr>
            <a:ln w="12700">
              <a:solidFill>
                <a:schemeClr val="tx1"/>
              </a:solidFill>
              <a:prstDash val="solid"/>
            </a:ln>
          </c:spPr>
          <c:marker>
            <c:symbol val="none"/>
          </c:marker>
          <c:xVal>
            <c:numRef>
              <c:f>Sheet1!$BK$74:$BK$112</c:f>
              <c:numCache>
                <c:formatCode>0.0000</c:formatCode>
                <c:ptCount val="39"/>
                <c:pt idx="0">
                  <c:v>0</c:v>
                </c:pt>
                <c:pt idx="1">
                  <c:v>1.9417475728155341E-4</c:v>
                </c:pt>
                <c:pt idx="2">
                  <c:v>3.8834951456310682E-4</c:v>
                </c:pt>
                <c:pt idx="3">
                  <c:v>5.8252427184466056E-4</c:v>
                </c:pt>
                <c:pt idx="4">
                  <c:v>7.7669902912623652E-4</c:v>
                </c:pt>
                <c:pt idx="5">
                  <c:v>9.7087378640841769E-4</c:v>
                </c:pt>
                <c:pt idx="6">
                  <c:v>1.1650485436993461E-3</c:v>
                </c:pt>
                <c:pt idx="7">
                  <c:v>1.3592233010721055E-3</c:v>
                </c:pt>
                <c:pt idx="8">
                  <c:v>1.5533980590026601E-3</c:v>
                </c:pt>
                <c:pt idx="9">
                  <c:v>1.7475728199241763E-3</c:v>
                </c:pt>
                <c:pt idx="10">
                  <c:v>1.9417475941384324E-3</c:v>
                </c:pt>
                <c:pt idx="11">
                  <c:v>2.1359224191681262E-3</c:v>
                </c:pt>
                <c:pt idx="12">
                  <c:v>2.3300974159009983E-3</c:v>
                </c:pt>
                <c:pt idx="13">
                  <c:v>2.5242729360917962E-3</c:v>
                </c:pt>
                <c:pt idx="14">
                  <c:v>2.7184499191044622E-3</c:v>
                </c:pt>
                <c:pt idx="15">
                  <c:v>2.9126306963902886E-3</c:v>
                </c:pt>
                <c:pt idx="16">
                  <c:v>3.1068207001330992E-3</c:v>
                </c:pt>
                <c:pt idx="17">
                  <c:v>3.3010319089426575E-3</c:v>
                </c:pt>
                <c:pt idx="18">
                  <c:v>3.4952894890011806E-3</c:v>
                </c:pt>
                <c:pt idx="19">
                  <c:v>3.6896440939805991E-3</c:v>
                </c:pt>
                <c:pt idx="20">
                  <c:v>3.8841938543697865E-3</c:v>
                </c:pt>
                <c:pt idx="21">
                  <c:v>4.0791224681987447E-3</c:v>
                </c:pt>
                <c:pt idx="22">
                  <c:v>4.2747633399939427E-3</c:v>
                </c:pt>
                <c:pt idx="23">
                  <c:v>4.4717048535435171E-3</c:v>
                </c:pt>
                <c:pt idx="24">
                  <c:v>4.6709591953690739E-3</c:v>
                </c:pt>
                <c:pt idx="25">
                  <c:v>4.8742274287871838E-3</c:v>
                </c:pt>
                <c:pt idx="26">
                  <c:v>5.0843077200684577E-3</c:v>
                </c:pt>
                <c:pt idx="27">
                  <c:v>5.305712956641462E-3</c:v>
                </c:pt>
                <c:pt idx="28">
                  <c:v>5.5455899917155778E-3</c:v>
                </c:pt>
                <c:pt idx="29">
                  <c:v>5.8150672771440726E-3</c:v>
                </c:pt>
                <c:pt idx="30">
                  <c:v>6.1312030062872745E-3</c:v>
                </c:pt>
                <c:pt idx="31">
                  <c:v>6.5197648759365186E-3</c:v>
                </c:pt>
                <c:pt idx="32">
                  <c:v>7.0191485633353239E-3</c:v>
                </c:pt>
                <c:pt idx="33">
                  <c:v>7.6858390425875956E-3</c:v>
                </c:pt>
                <c:pt idx="34">
                  <c:v>8.6019417475728145E-3</c:v>
                </c:pt>
                <c:pt idx="35">
                  <c:v>1.1156347922035625E-2</c:v>
                </c:pt>
                <c:pt idx="36">
                  <c:v>1.6289653595097549E-2</c:v>
                </c:pt>
                <c:pt idx="37">
                  <c:v>2.6610471257307068E-2</c:v>
                </c:pt>
                <c:pt idx="38">
                  <c:v>4.7169318186600216E-2</c:v>
                </c:pt>
              </c:numCache>
            </c:numRef>
          </c:xVal>
          <c:yVal>
            <c:numRef>
              <c:f>Sheet1!$BI$74:$BI$112</c:f>
              <c:numCache>
                <c:formatCode>General</c:formatCode>
                <c:ptCount val="39"/>
                <c:pt idx="0">
                  <c:v>0</c:v>
                </c:pt>
                <c:pt idx="1">
                  <c:v>2000</c:v>
                </c:pt>
                <c:pt idx="2">
                  <c:v>4000</c:v>
                </c:pt>
                <c:pt idx="3">
                  <c:v>6000</c:v>
                </c:pt>
                <c:pt idx="4">
                  <c:v>8000</c:v>
                </c:pt>
                <c:pt idx="5">
                  <c:v>10000</c:v>
                </c:pt>
                <c:pt idx="6">
                  <c:v>12000</c:v>
                </c:pt>
                <c:pt idx="7">
                  <c:v>14000</c:v>
                </c:pt>
                <c:pt idx="8">
                  <c:v>16000</c:v>
                </c:pt>
                <c:pt idx="9">
                  <c:v>18000</c:v>
                </c:pt>
                <c:pt idx="10">
                  <c:v>20000</c:v>
                </c:pt>
                <c:pt idx="11">
                  <c:v>22000</c:v>
                </c:pt>
                <c:pt idx="12">
                  <c:v>24000</c:v>
                </c:pt>
                <c:pt idx="13">
                  <c:v>26000</c:v>
                </c:pt>
                <c:pt idx="14">
                  <c:v>28000</c:v>
                </c:pt>
                <c:pt idx="15">
                  <c:v>30000</c:v>
                </c:pt>
                <c:pt idx="16">
                  <c:v>32000</c:v>
                </c:pt>
                <c:pt idx="17">
                  <c:v>34000</c:v>
                </c:pt>
                <c:pt idx="18">
                  <c:v>36000</c:v>
                </c:pt>
                <c:pt idx="19">
                  <c:v>38000</c:v>
                </c:pt>
                <c:pt idx="20">
                  <c:v>40000</c:v>
                </c:pt>
                <c:pt idx="21">
                  <c:v>42000</c:v>
                </c:pt>
                <c:pt idx="22">
                  <c:v>44000</c:v>
                </c:pt>
                <c:pt idx="23">
                  <c:v>46000</c:v>
                </c:pt>
                <c:pt idx="24">
                  <c:v>48000</c:v>
                </c:pt>
                <c:pt idx="25">
                  <c:v>50000</c:v>
                </c:pt>
                <c:pt idx="26">
                  <c:v>52000</c:v>
                </c:pt>
                <c:pt idx="27">
                  <c:v>54000</c:v>
                </c:pt>
                <c:pt idx="28">
                  <c:v>56000</c:v>
                </c:pt>
                <c:pt idx="29">
                  <c:v>58000</c:v>
                </c:pt>
                <c:pt idx="30">
                  <c:v>60000</c:v>
                </c:pt>
                <c:pt idx="31">
                  <c:v>62000</c:v>
                </c:pt>
                <c:pt idx="32">
                  <c:v>64000</c:v>
                </c:pt>
                <c:pt idx="33">
                  <c:v>66000</c:v>
                </c:pt>
                <c:pt idx="34">
                  <c:v>68000</c:v>
                </c:pt>
                <c:pt idx="35">
                  <c:v>70000</c:v>
                </c:pt>
                <c:pt idx="36">
                  <c:v>72000</c:v>
                </c:pt>
                <c:pt idx="37">
                  <c:v>74000</c:v>
                </c:pt>
                <c:pt idx="38">
                  <c:v>76000</c:v>
                </c:pt>
              </c:numCache>
            </c:numRef>
          </c:yVal>
          <c:smooth val="1"/>
          <c:extLst>
            <c:ext xmlns:c16="http://schemas.microsoft.com/office/drawing/2014/chart" uri="{C3380CC4-5D6E-409C-BE32-E72D297353CC}">
              <c16:uniqueId val="{00000000-1355-4906-BC20-455FFFF2DE6E}"/>
            </c:ext>
          </c:extLst>
        </c:ser>
        <c:ser>
          <c:idx val="1"/>
          <c:order val="1"/>
          <c:spPr>
            <a:ln w="12700">
              <a:solidFill>
                <a:srgbClr val="000000"/>
              </a:solidFill>
              <a:prstDash val="dash"/>
            </a:ln>
          </c:spPr>
          <c:marker>
            <c:symbol val="none"/>
          </c:marker>
          <c:xVal>
            <c:numRef>
              <c:f>Sheet1!$BK$74:$BK$112</c:f>
              <c:numCache>
                <c:formatCode>0.0000</c:formatCode>
                <c:ptCount val="39"/>
                <c:pt idx="0">
                  <c:v>0</c:v>
                </c:pt>
                <c:pt idx="1">
                  <c:v>1.9417475728155341E-4</c:v>
                </c:pt>
                <c:pt idx="2">
                  <c:v>3.8834951456310682E-4</c:v>
                </c:pt>
                <c:pt idx="3">
                  <c:v>5.8252427184466056E-4</c:v>
                </c:pt>
                <c:pt idx="4">
                  <c:v>7.7669902912623652E-4</c:v>
                </c:pt>
                <c:pt idx="5">
                  <c:v>9.7087378640841769E-4</c:v>
                </c:pt>
                <c:pt idx="6">
                  <c:v>1.1650485436993461E-3</c:v>
                </c:pt>
                <c:pt idx="7">
                  <c:v>1.3592233010721055E-3</c:v>
                </c:pt>
                <c:pt idx="8">
                  <c:v>1.5533980590026601E-3</c:v>
                </c:pt>
                <c:pt idx="9">
                  <c:v>1.7475728199241763E-3</c:v>
                </c:pt>
                <c:pt idx="10">
                  <c:v>1.9417475941384324E-3</c:v>
                </c:pt>
                <c:pt idx="11">
                  <c:v>2.1359224191681262E-3</c:v>
                </c:pt>
                <c:pt idx="12">
                  <c:v>2.3300974159009983E-3</c:v>
                </c:pt>
                <c:pt idx="13">
                  <c:v>2.5242729360917962E-3</c:v>
                </c:pt>
                <c:pt idx="14">
                  <c:v>2.7184499191044622E-3</c:v>
                </c:pt>
                <c:pt idx="15">
                  <c:v>2.9126306963902886E-3</c:v>
                </c:pt>
                <c:pt idx="16">
                  <c:v>3.1068207001330992E-3</c:v>
                </c:pt>
                <c:pt idx="17">
                  <c:v>3.3010319089426575E-3</c:v>
                </c:pt>
                <c:pt idx="18">
                  <c:v>3.4952894890011806E-3</c:v>
                </c:pt>
                <c:pt idx="19">
                  <c:v>3.6896440939805991E-3</c:v>
                </c:pt>
                <c:pt idx="20">
                  <c:v>3.8841938543697865E-3</c:v>
                </c:pt>
                <c:pt idx="21">
                  <c:v>4.0791224681987447E-3</c:v>
                </c:pt>
                <c:pt idx="22">
                  <c:v>4.2747633399939427E-3</c:v>
                </c:pt>
                <c:pt idx="23">
                  <c:v>4.4717048535435171E-3</c:v>
                </c:pt>
                <c:pt idx="24">
                  <c:v>4.6709591953690739E-3</c:v>
                </c:pt>
                <c:pt idx="25">
                  <c:v>4.8742274287871838E-3</c:v>
                </c:pt>
                <c:pt idx="26">
                  <c:v>5.0843077200684577E-3</c:v>
                </c:pt>
                <c:pt idx="27">
                  <c:v>5.305712956641462E-3</c:v>
                </c:pt>
                <c:pt idx="28">
                  <c:v>5.5455899917155778E-3</c:v>
                </c:pt>
                <c:pt idx="29">
                  <c:v>5.8150672771440726E-3</c:v>
                </c:pt>
                <c:pt idx="30">
                  <c:v>6.1312030062872745E-3</c:v>
                </c:pt>
                <c:pt idx="31">
                  <c:v>6.5197648759365186E-3</c:v>
                </c:pt>
                <c:pt idx="32">
                  <c:v>7.0191485633353239E-3</c:v>
                </c:pt>
                <c:pt idx="33">
                  <c:v>7.6858390425875956E-3</c:v>
                </c:pt>
                <c:pt idx="34">
                  <c:v>8.6019417475728145E-3</c:v>
                </c:pt>
                <c:pt idx="35">
                  <c:v>1.1156347922035625E-2</c:v>
                </c:pt>
                <c:pt idx="36">
                  <c:v>1.6289653595097549E-2</c:v>
                </c:pt>
                <c:pt idx="37">
                  <c:v>2.6610471257307068E-2</c:v>
                </c:pt>
                <c:pt idx="38">
                  <c:v>4.7169318186600216E-2</c:v>
                </c:pt>
              </c:numCache>
            </c:numRef>
          </c:xVal>
          <c:yVal>
            <c:numRef>
              <c:f>Sheet1!$BH$74:$BH$112</c:f>
              <c:numCache>
                <c:formatCode>0</c:formatCode>
                <c:ptCount val="39"/>
                <c:pt idx="0">
                  <c:v>0</c:v>
                </c:pt>
                <c:pt idx="1">
                  <c:v>2000.0000000000002</c:v>
                </c:pt>
                <c:pt idx="2">
                  <c:v>4000.0000000000005</c:v>
                </c:pt>
                <c:pt idx="3">
                  <c:v>6000.0000000000036</c:v>
                </c:pt>
                <c:pt idx="4">
                  <c:v>8000.0000000002365</c:v>
                </c:pt>
                <c:pt idx="5">
                  <c:v>10000.000000006703</c:v>
                </c:pt>
                <c:pt idx="6">
                  <c:v>12000.000000103264</c:v>
                </c:pt>
                <c:pt idx="7">
                  <c:v>14000.000001042687</c:v>
                </c:pt>
                <c:pt idx="8">
                  <c:v>16000.000007727398</c:v>
                </c:pt>
                <c:pt idx="9">
                  <c:v>18000.000045219014</c:v>
                </c:pt>
                <c:pt idx="10">
                  <c:v>20000.000219625854</c:v>
                </c:pt>
                <c:pt idx="11">
                  <c:v>22000.000917431698</c:v>
                </c:pt>
                <c:pt idx="12">
                  <c:v>24000.00338378028</c:v>
                </c:pt>
                <c:pt idx="13">
                  <c:v>26000.011241745502</c:v>
                </c:pt>
                <c:pt idx="14">
                  <c:v>28000.03416677596</c:v>
                </c:pt>
                <c:pt idx="15">
                  <c:v>30000.096172819973</c:v>
                </c:pt>
                <c:pt idx="16">
                  <c:v>32000.25321137092</c:v>
                </c:pt>
                <c:pt idx="17">
                  <c:v>34000.628662109375</c:v>
                </c:pt>
                <c:pt idx="18">
                  <c:v>36001.481736712158</c:v>
                </c:pt>
                <c:pt idx="19">
                  <c:v>38003.334168000169</c:v>
                </c:pt>
                <c:pt idx="20">
                  <c:v>40007.196700008804</c:v>
                </c:pt>
                <c:pt idx="21">
                  <c:v>42014.961422447072</c:v>
                </c:pt>
                <c:pt idx="22">
                  <c:v>44030.062401937612</c:v>
                </c:pt>
                <c:pt idx="23">
                  <c:v>46058.559991498223</c:v>
                </c:pt>
                <c:pt idx="24">
                  <c:v>48110.879712301459</c:v>
                </c:pt>
                <c:pt idx="25">
                  <c:v>50204.542516507994</c:v>
                </c:pt>
                <c:pt idx="26">
                  <c:v>52368.369516705112</c:v>
                </c:pt>
                <c:pt idx="27">
                  <c:v>54648.843453407062</c:v>
                </c:pt>
                <c:pt idx="28">
                  <c:v>57119.576914670448</c:v>
                </c:pt>
                <c:pt idx="29">
                  <c:v>59895.192954583945</c:v>
                </c:pt>
                <c:pt idx="30">
                  <c:v>63151.390964758924</c:v>
                </c:pt>
                <c:pt idx="31">
                  <c:v>67153.578222146141</c:v>
                </c:pt>
                <c:pt idx="32">
                  <c:v>72297.230202353836</c:v>
                </c:pt>
                <c:pt idx="33">
                  <c:v>79164.142138652242</c:v>
                </c:pt>
                <c:pt idx="34">
                  <c:v>88599.999999999985</c:v>
                </c:pt>
                <c:pt idx="35">
                  <c:v>114910.38359696695</c:v>
                </c:pt>
                <c:pt idx="36">
                  <c:v>167783.43202950477</c:v>
                </c:pt>
                <c:pt idx="37">
                  <c:v>274087.85395026283</c:v>
                </c:pt>
                <c:pt idx="38">
                  <c:v>485843.97732198221</c:v>
                </c:pt>
              </c:numCache>
            </c:numRef>
          </c:yVal>
          <c:smooth val="0"/>
          <c:extLst>
            <c:ext xmlns:c16="http://schemas.microsoft.com/office/drawing/2014/chart" uri="{C3380CC4-5D6E-409C-BE32-E72D297353CC}">
              <c16:uniqueId val="{00000001-1355-4906-BC20-455FFFF2DE6E}"/>
            </c:ext>
          </c:extLst>
        </c:ser>
        <c:ser>
          <c:idx val="3"/>
          <c:order val="2"/>
          <c:spPr>
            <a:ln w="12700">
              <a:solidFill>
                <a:srgbClr val="C0C0C0"/>
              </a:solidFill>
              <a:prstDash val="lgDash"/>
            </a:ln>
          </c:spPr>
          <c:marker>
            <c:symbol val="none"/>
          </c:marker>
          <c:xVal>
            <c:numRef>
              <c:f>Sheet1!$AH$74:$AH$75</c:f>
              <c:numCache>
                <c:formatCode>0.00</c:formatCode>
                <c:ptCount val="2"/>
              </c:numCache>
            </c:numRef>
          </c:xVal>
          <c:yVal>
            <c:numRef>
              <c:f>Sheet1!$AI$74:$AI$75</c:f>
              <c:numCache>
                <c:formatCode>0.00</c:formatCode>
                <c:ptCount val="2"/>
              </c:numCache>
            </c:numRef>
          </c:yVal>
          <c:smooth val="0"/>
          <c:extLst>
            <c:ext xmlns:c16="http://schemas.microsoft.com/office/drawing/2014/chart" uri="{C3380CC4-5D6E-409C-BE32-E72D297353CC}">
              <c16:uniqueId val="{00000002-1355-4906-BC20-455FFFF2DE6E}"/>
            </c:ext>
          </c:extLst>
        </c:ser>
        <c:ser>
          <c:idx val="4"/>
          <c:order val="3"/>
          <c:spPr>
            <a:ln w="12700">
              <a:solidFill>
                <a:srgbClr val="C0C0C0"/>
              </a:solidFill>
              <a:prstDash val="lgDash"/>
            </a:ln>
          </c:spPr>
          <c:marker>
            <c:symbol val="none"/>
          </c:marker>
          <c:xVal>
            <c:numRef>
              <c:f>Sheet1!$AI$88:$AI$89</c:f>
              <c:numCache>
                <c:formatCode>0.0000</c:formatCode>
                <c:ptCount val="2"/>
              </c:numCache>
            </c:numRef>
          </c:xVal>
          <c:yVal>
            <c:numRef>
              <c:f>Sheet1!$AJ$88:$AJ$89</c:f>
              <c:numCache>
                <c:formatCode>General</c:formatCode>
                <c:ptCount val="2"/>
              </c:numCache>
            </c:numRef>
          </c:yVal>
          <c:smooth val="0"/>
          <c:extLst>
            <c:ext xmlns:c16="http://schemas.microsoft.com/office/drawing/2014/chart" uri="{C3380CC4-5D6E-409C-BE32-E72D297353CC}">
              <c16:uniqueId val="{00000003-1355-4906-BC20-455FFFF2DE6E}"/>
            </c:ext>
          </c:extLst>
        </c:ser>
        <c:ser>
          <c:idx val="6"/>
          <c:order val="4"/>
          <c:spPr>
            <a:ln w="12700">
              <a:solidFill>
                <a:prstClr val="black"/>
              </a:solidFill>
            </a:ln>
          </c:spPr>
          <c:marker>
            <c:symbol val="none"/>
          </c:marker>
          <c:xVal>
            <c:numRef>
              <c:f>Sheet1!$CI$74:$CI$112</c:f>
              <c:numCache>
                <c:formatCode>0.0000</c:formatCode>
                <c:ptCount val="39"/>
                <c:pt idx="0">
                  <c:v>0</c:v>
                </c:pt>
                <c:pt idx="1">
                  <c:v>-2.380952380952381E-4</c:v>
                </c:pt>
                <c:pt idx="2">
                  <c:v>-4.7619047619050134E-4</c:v>
                </c:pt>
                <c:pt idx="3">
                  <c:v>-7.1428571428897849E-4</c:v>
                </c:pt>
                <c:pt idx="4">
                  <c:v>-9.5238095248400048E-4</c:v>
                </c:pt>
                <c:pt idx="5">
                  <c:v>-1.190476191975738E-3</c:v>
                </c:pt>
                <c:pt idx="6">
                  <c:v>-1.4285714419415437E-3</c:v>
                </c:pt>
                <c:pt idx="7">
                  <c:v>-1.666666751681875E-3</c:v>
                </c:pt>
                <c:pt idx="8">
                  <c:v>-1.9047623268469709E-3</c:v>
                </c:pt>
                <c:pt idx="9">
                  <c:v>-2.1428588775806189E-3</c:v>
                </c:pt>
                <c:pt idx="10">
                  <c:v>-2.3809585230984811E-3</c:v>
                </c:pt>
                <c:pt idx="11">
                  <c:v>-2.6190668957332326E-3</c:v>
                </c:pt>
                <c:pt idx="12">
                  <c:v>-2.8571976211344513E-3</c:v>
                </c:pt>
                <c:pt idx="13">
                  <c:v>-3.0953811954807643E-3</c:v>
                </c:pt>
                <c:pt idx="14">
                  <c:v>-3.3336815556261144E-3</c:v>
                </c:pt>
                <c:pt idx="15">
                  <c:v>-3.5722254923918149E-3</c:v>
                </c:pt>
                <c:pt idx="16">
                  <c:v>-3.811252669954216E-3</c:v>
                </c:pt>
                <c:pt idx="17">
                  <c:v>-4.0511975985211288E-3</c:v>
                </c:pt>
                <c:pt idx="18">
                  <c:v>-4.2928197130718869E-3</c:v>
                </c:pt>
                <c:pt idx="19">
                  <c:v>-4.5374040274073872E-3</c:v>
                </c:pt>
                <c:pt idx="20">
                  <c:v>-4.7870629923297131E-3</c:v>
                </c:pt>
                <c:pt idx="21">
                  <c:v>-5.0451805672601701E-3</c:v>
                </c:pt>
                <c:pt idx="22">
                  <c:v>-5.3170525423689883E-3</c:v>
                </c:pt>
                <c:pt idx="23">
                  <c:v>-5.6107933011751007E-3</c:v>
                </c:pt>
                <c:pt idx="24">
                  <c:v>-5.9385990238549451E-3</c:v>
                </c:pt>
                <c:pt idx="25">
                  <c:v>-6.3184813888205538E-3</c:v>
                </c:pt>
                <c:pt idx="26">
                  <c:v>-6.7766147844476824E-3</c:v>
                </c:pt>
                <c:pt idx="27">
                  <c:v>-7.3504746073680188E-3</c:v>
                </c:pt>
                <c:pt idx="28">
                  <c:v>-8.0929851778963249E-3</c:v>
                </c:pt>
                <c:pt idx="29">
                  <c:v>-9.656094596510947E-3</c:v>
                </c:pt>
                <c:pt idx="30">
                  <c:v>-2.0267420586951072E-2</c:v>
                </c:pt>
                <c:pt idx="31">
                  <c:v>-6.6861546728288423E-2</c:v>
                </c:pt>
                <c:pt idx="32">
                  <c:v>-0.26455658523440889</c:v>
                </c:pt>
                <c:pt idx="33">
                  <c:v>-1.0688789351416612</c:v>
                </c:pt>
                <c:pt idx="34">
                  <c:v>-4.2079405978566307</c:v>
                </c:pt>
                <c:pt idx="35">
                  <c:v>-15.982592732408424</c:v>
                </c:pt>
                <c:pt idx="36">
                  <c:v>-58.522959024558617</c:v>
                </c:pt>
                <c:pt idx="37">
                  <c:v>-206.8585172269228</c:v>
                </c:pt>
                <c:pt idx="38">
                  <c:v>-707.012620409031</c:v>
                </c:pt>
              </c:numCache>
            </c:numRef>
          </c:xVal>
          <c:yVal>
            <c:numRef>
              <c:f>Sheet1!$CH$74:$CH$112</c:f>
              <c:numCache>
                <c:formatCode>General</c:formatCode>
                <c:ptCount val="39"/>
                <c:pt idx="0">
                  <c:v>0</c:v>
                </c:pt>
                <c:pt idx="1">
                  <c:v>-2500</c:v>
                </c:pt>
                <c:pt idx="2">
                  <c:v>-5000</c:v>
                </c:pt>
                <c:pt idx="3">
                  <c:v>-7500</c:v>
                </c:pt>
                <c:pt idx="4">
                  <c:v>-10000</c:v>
                </c:pt>
                <c:pt idx="5">
                  <c:v>-12500</c:v>
                </c:pt>
                <c:pt idx="6">
                  <c:v>-15000</c:v>
                </c:pt>
                <c:pt idx="7">
                  <c:v>-17500</c:v>
                </c:pt>
                <c:pt idx="8">
                  <c:v>-20000</c:v>
                </c:pt>
                <c:pt idx="9">
                  <c:v>-22500</c:v>
                </c:pt>
                <c:pt idx="10">
                  <c:v>-25000</c:v>
                </c:pt>
                <c:pt idx="11">
                  <c:v>-27500</c:v>
                </c:pt>
                <c:pt idx="12">
                  <c:v>-30000</c:v>
                </c:pt>
                <c:pt idx="13">
                  <c:v>-32500</c:v>
                </c:pt>
                <c:pt idx="14">
                  <c:v>-35000</c:v>
                </c:pt>
                <c:pt idx="15">
                  <c:v>-37500</c:v>
                </c:pt>
                <c:pt idx="16">
                  <c:v>-40000</c:v>
                </c:pt>
                <c:pt idx="17">
                  <c:v>-42500</c:v>
                </c:pt>
                <c:pt idx="18">
                  <c:v>-45000</c:v>
                </c:pt>
                <c:pt idx="19">
                  <c:v>-47500</c:v>
                </c:pt>
                <c:pt idx="20">
                  <c:v>-50000</c:v>
                </c:pt>
                <c:pt idx="21">
                  <c:v>-52500</c:v>
                </c:pt>
                <c:pt idx="22">
                  <c:v>-55000</c:v>
                </c:pt>
                <c:pt idx="23">
                  <c:v>-57500</c:v>
                </c:pt>
                <c:pt idx="24">
                  <c:v>-60000</c:v>
                </c:pt>
                <c:pt idx="25">
                  <c:v>-62500</c:v>
                </c:pt>
                <c:pt idx="26">
                  <c:v>-65000</c:v>
                </c:pt>
                <c:pt idx="27">
                  <c:v>-67500</c:v>
                </c:pt>
                <c:pt idx="28">
                  <c:v>-70000</c:v>
                </c:pt>
                <c:pt idx="29">
                  <c:v>-72500</c:v>
                </c:pt>
                <c:pt idx="30">
                  <c:v>-75000</c:v>
                </c:pt>
                <c:pt idx="31">
                  <c:v>-77500</c:v>
                </c:pt>
                <c:pt idx="32">
                  <c:v>-80000</c:v>
                </c:pt>
                <c:pt idx="33">
                  <c:v>-82500</c:v>
                </c:pt>
                <c:pt idx="34">
                  <c:v>-85000</c:v>
                </c:pt>
                <c:pt idx="35">
                  <c:v>-87500</c:v>
                </c:pt>
                <c:pt idx="36">
                  <c:v>-90000</c:v>
                </c:pt>
                <c:pt idx="37">
                  <c:v>-92500</c:v>
                </c:pt>
                <c:pt idx="38">
                  <c:v>-95000</c:v>
                </c:pt>
              </c:numCache>
            </c:numRef>
          </c:yVal>
          <c:smooth val="1"/>
          <c:extLst>
            <c:ext xmlns:c16="http://schemas.microsoft.com/office/drawing/2014/chart" uri="{C3380CC4-5D6E-409C-BE32-E72D297353CC}">
              <c16:uniqueId val="{00000004-1355-4906-BC20-455FFFF2DE6E}"/>
            </c:ext>
          </c:extLst>
        </c:ser>
        <c:ser>
          <c:idx val="7"/>
          <c:order val="5"/>
          <c:spPr>
            <a:ln w="12700">
              <a:solidFill>
                <a:schemeClr val="tx1"/>
              </a:solidFill>
              <a:prstDash val="dash"/>
            </a:ln>
          </c:spPr>
          <c:marker>
            <c:symbol val="none"/>
          </c:marker>
          <c:xVal>
            <c:numRef>
              <c:f>Sheet1!$CI$74:$CI$112</c:f>
              <c:numCache>
                <c:formatCode>0.0000</c:formatCode>
                <c:ptCount val="39"/>
                <c:pt idx="0">
                  <c:v>0</c:v>
                </c:pt>
                <c:pt idx="1">
                  <c:v>-2.380952380952381E-4</c:v>
                </c:pt>
                <c:pt idx="2">
                  <c:v>-4.7619047619050134E-4</c:v>
                </c:pt>
                <c:pt idx="3">
                  <c:v>-7.1428571428897849E-4</c:v>
                </c:pt>
                <c:pt idx="4">
                  <c:v>-9.5238095248400048E-4</c:v>
                </c:pt>
                <c:pt idx="5">
                  <c:v>-1.190476191975738E-3</c:v>
                </c:pt>
                <c:pt idx="6">
                  <c:v>-1.4285714419415437E-3</c:v>
                </c:pt>
                <c:pt idx="7">
                  <c:v>-1.666666751681875E-3</c:v>
                </c:pt>
                <c:pt idx="8">
                  <c:v>-1.9047623268469709E-3</c:v>
                </c:pt>
                <c:pt idx="9">
                  <c:v>-2.1428588775806189E-3</c:v>
                </c:pt>
                <c:pt idx="10">
                  <c:v>-2.3809585230984811E-3</c:v>
                </c:pt>
                <c:pt idx="11">
                  <c:v>-2.6190668957332326E-3</c:v>
                </c:pt>
                <c:pt idx="12">
                  <c:v>-2.8571976211344513E-3</c:v>
                </c:pt>
                <c:pt idx="13">
                  <c:v>-3.0953811954807643E-3</c:v>
                </c:pt>
                <c:pt idx="14">
                  <c:v>-3.3336815556261144E-3</c:v>
                </c:pt>
                <c:pt idx="15">
                  <c:v>-3.5722254923918149E-3</c:v>
                </c:pt>
                <c:pt idx="16">
                  <c:v>-3.811252669954216E-3</c:v>
                </c:pt>
                <c:pt idx="17">
                  <c:v>-4.0511975985211288E-3</c:v>
                </c:pt>
                <c:pt idx="18">
                  <c:v>-4.2928197130718869E-3</c:v>
                </c:pt>
                <c:pt idx="19">
                  <c:v>-4.5374040274073872E-3</c:v>
                </c:pt>
                <c:pt idx="20">
                  <c:v>-4.7870629923297131E-3</c:v>
                </c:pt>
                <c:pt idx="21">
                  <c:v>-5.0451805672601701E-3</c:v>
                </c:pt>
                <c:pt idx="22">
                  <c:v>-5.3170525423689883E-3</c:v>
                </c:pt>
                <c:pt idx="23">
                  <c:v>-5.6107933011751007E-3</c:v>
                </c:pt>
                <c:pt idx="24">
                  <c:v>-5.9385990238549451E-3</c:v>
                </c:pt>
                <c:pt idx="25">
                  <c:v>-6.3184813888205538E-3</c:v>
                </c:pt>
                <c:pt idx="26">
                  <c:v>-6.7766147844476824E-3</c:v>
                </c:pt>
                <c:pt idx="27">
                  <c:v>-7.3504746073680188E-3</c:v>
                </c:pt>
                <c:pt idx="28">
                  <c:v>-8.0929851778963249E-3</c:v>
                </c:pt>
                <c:pt idx="29">
                  <c:v>-9.656094596510947E-3</c:v>
                </c:pt>
                <c:pt idx="30">
                  <c:v>-2.0267420586951072E-2</c:v>
                </c:pt>
                <c:pt idx="31">
                  <c:v>-6.6861546728288423E-2</c:v>
                </c:pt>
                <c:pt idx="32">
                  <c:v>-0.26455658523440889</c:v>
                </c:pt>
                <c:pt idx="33">
                  <c:v>-1.0688789351416612</c:v>
                </c:pt>
                <c:pt idx="34">
                  <c:v>-4.2079405978566307</c:v>
                </c:pt>
                <c:pt idx="35">
                  <c:v>-15.982592732408424</c:v>
                </c:pt>
                <c:pt idx="36">
                  <c:v>-58.522959024558617</c:v>
                </c:pt>
                <c:pt idx="37">
                  <c:v>-206.8585172269228</c:v>
                </c:pt>
                <c:pt idx="38">
                  <c:v>-707.012620409031</c:v>
                </c:pt>
              </c:numCache>
            </c:numRef>
          </c:xVal>
          <c:yVal>
            <c:numRef>
              <c:f>Sheet1!$CG$74:$CG$112</c:f>
              <c:numCache>
                <c:formatCode>0</c:formatCode>
                <c:ptCount val="39"/>
                <c:pt idx="0">
                  <c:v>0</c:v>
                </c:pt>
                <c:pt idx="1">
                  <c:v>-2500</c:v>
                </c:pt>
                <c:pt idx="2">
                  <c:v>-5000.0000000002638</c:v>
                </c:pt>
                <c:pt idx="3">
                  <c:v>-7500.0000000342743</c:v>
                </c:pt>
                <c:pt idx="4">
                  <c:v>-10000.000001082006</c:v>
                </c:pt>
                <c:pt idx="5">
                  <c:v>-12500.000015745249</c:v>
                </c:pt>
                <c:pt idx="6">
                  <c:v>-15000.000140386208</c:v>
                </c:pt>
                <c:pt idx="7">
                  <c:v>-17500.000892659686</c:v>
                </c:pt>
                <c:pt idx="8">
                  <c:v>-20000.004431893194</c:v>
                </c:pt>
                <c:pt idx="9">
                  <c:v>-22500.018214596497</c:v>
                </c:pt>
                <c:pt idx="10">
                  <c:v>-25000.064492534049</c:v>
                </c:pt>
                <c:pt idx="11">
                  <c:v>-27500.202405198943</c:v>
                </c:pt>
                <c:pt idx="12">
                  <c:v>-30000.57502191174</c:v>
                </c:pt>
                <c:pt idx="13">
                  <c:v>-32501.502552548027</c:v>
                </c:pt>
                <c:pt idx="14">
                  <c:v>-35003.6563340742</c:v>
                </c:pt>
                <c:pt idx="15">
                  <c:v>-37508.367670114058</c:v>
                </c:pt>
                <c:pt idx="16">
                  <c:v>-40018.153034519266</c:v>
                </c:pt>
                <c:pt idx="17">
                  <c:v>-42537.57478447185</c:v>
                </c:pt>
                <c:pt idx="18">
                  <c:v>-45074.606987254811</c:v>
                </c:pt>
                <c:pt idx="19">
                  <c:v>-47642.742287777568</c:v>
                </c:pt>
                <c:pt idx="20">
                  <c:v>-50264.161419461991</c:v>
                </c:pt>
                <c:pt idx="21">
                  <c:v>-52974.395956231783</c:v>
                </c:pt>
                <c:pt idx="22">
                  <c:v>-55829.051694874375</c:v>
                </c:pt>
                <c:pt idx="23">
                  <c:v>-58913.329662338554</c:v>
                </c:pt>
                <c:pt idx="24">
                  <c:v>-62355.289750476921</c:v>
                </c:pt>
                <c:pt idx="25">
                  <c:v>-66344.05458261582</c:v>
                </c:pt>
                <c:pt idx="26">
                  <c:v>-71154.455236700669</c:v>
                </c:pt>
                <c:pt idx="27">
                  <c:v>-77179.983377364202</c:v>
                </c:pt>
                <c:pt idx="28">
                  <c:v>-84976.344367911413</c:v>
                </c:pt>
                <c:pt idx="29">
                  <c:v>-101388.99326336494</c:v>
                </c:pt>
                <c:pt idx="30">
                  <c:v>-212807.91616298625</c:v>
                </c:pt>
                <c:pt idx="31">
                  <c:v>-702046.24064702843</c:v>
                </c:pt>
                <c:pt idx="32">
                  <c:v>-2777844.1449612933</c:v>
                </c:pt>
                <c:pt idx="33">
                  <c:v>-11223228.818987442</c:v>
                </c:pt>
                <c:pt idx="34">
                  <c:v>-44183376.277494624</c:v>
                </c:pt>
                <c:pt idx="35">
                  <c:v>-167817223.69028845</c:v>
                </c:pt>
                <c:pt idx="36">
                  <c:v>-614491069.75786543</c:v>
                </c:pt>
                <c:pt idx="37">
                  <c:v>-2172014430.8826895</c:v>
                </c:pt>
                <c:pt idx="38">
                  <c:v>-7423632514.2948256</c:v>
                </c:pt>
              </c:numCache>
            </c:numRef>
          </c:yVal>
          <c:smooth val="0"/>
          <c:extLst>
            <c:ext xmlns:c16="http://schemas.microsoft.com/office/drawing/2014/chart" uri="{C3380CC4-5D6E-409C-BE32-E72D297353CC}">
              <c16:uniqueId val="{00000005-1355-4906-BC20-455FFFF2DE6E}"/>
            </c:ext>
          </c:extLst>
        </c:ser>
        <c:dLbls>
          <c:showLegendKey val="0"/>
          <c:showVal val="0"/>
          <c:showCatName val="0"/>
          <c:showSerName val="0"/>
          <c:showPercent val="0"/>
          <c:showBubbleSize val="0"/>
        </c:dLbls>
        <c:axId val="542006840"/>
        <c:axId val="542005664"/>
      </c:scatterChart>
      <c:valAx>
        <c:axId val="542006840"/>
        <c:scaling>
          <c:orientation val="minMax"/>
          <c:max val="0.05"/>
          <c:min val="-0.05"/>
        </c:scaling>
        <c:delete val="0"/>
        <c:axPos val="b"/>
        <c:majorGridlines/>
        <c:title>
          <c:tx>
            <c:rich>
              <a:bodyPr/>
              <a:lstStyle/>
              <a:p>
                <a:pPr>
                  <a:defRPr/>
                </a:pPr>
                <a:r>
                  <a:rPr lang="en-CA"/>
                  <a:t>Strain</a:t>
                </a:r>
              </a:p>
            </c:rich>
          </c:tx>
          <c:layout>
            <c:manualLayout>
              <c:xMode val="edge"/>
              <c:yMode val="edge"/>
              <c:x val="0.50303109491226139"/>
              <c:y val="0.92396306576785681"/>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542005664"/>
        <c:crosses val="autoZero"/>
        <c:crossBetween val="midCat"/>
      </c:valAx>
      <c:valAx>
        <c:axId val="542005664"/>
        <c:scaling>
          <c:orientation val="minMax"/>
          <c:max val="80000"/>
          <c:min val="-80000"/>
        </c:scaling>
        <c:delete val="0"/>
        <c:axPos val="l"/>
        <c:majorGridlines/>
        <c:title>
          <c:tx>
            <c:rich>
              <a:bodyPr/>
              <a:lstStyle/>
              <a:p>
                <a:pPr>
                  <a:defRPr/>
                </a:pPr>
                <a:r>
                  <a:rPr lang="en-CA"/>
                  <a:t>Stress (Psi)</a:t>
                </a:r>
              </a:p>
            </c:rich>
          </c:tx>
          <c:layout>
            <c:manualLayout>
              <c:xMode val="edge"/>
              <c:yMode val="edge"/>
              <c:x val="2.5757697318402887E-2"/>
              <c:y val="0.370967729753205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4200684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0000000000001" r="0.750000000000001" t="1" header="0.49212598450000045" footer="0.492125984500000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09553217174929"/>
          <c:y val="6.9053794674355962E-2"/>
          <c:w val="0.78285859906733457"/>
          <c:h val="0.79795496068144667"/>
        </c:manualLayout>
      </c:layout>
      <c:scatterChart>
        <c:scatterStyle val="lineMarker"/>
        <c:varyColors val="0"/>
        <c:ser>
          <c:idx val="3"/>
          <c:order val="0"/>
          <c:spPr>
            <a:ln w="12700">
              <a:solidFill>
                <a:schemeClr val="tx1"/>
              </a:solidFill>
              <a:prstDash val="solid"/>
            </a:ln>
          </c:spPr>
          <c:marker>
            <c:symbol val="none"/>
          </c:marker>
          <c:xVal>
            <c:numRef>
              <c:f>Sheet1!$G$132:$G$159</c:f>
              <c:numCache>
                <c:formatCode>0</c:formatCode>
                <c:ptCount val="28"/>
                <c:pt idx="0">
                  <c:v>0</c:v>
                </c:pt>
                <c:pt idx="1">
                  <c:v>29503.90431888173</c:v>
                </c:pt>
                <c:pt idx="2">
                  <c:v>30237.733713063091</c:v>
                </c:pt>
                <c:pt idx="3">
                  <c:v>30983.591245516684</c:v>
                </c:pt>
                <c:pt idx="4">
                  <c:v>31745.384958079143</c:v>
                </c:pt>
                <c:pt idx="5">
                  <c:v>32528.159821348709</c:v>
                </c:pt>
                <c:pt idx="6">
                  <c:v>33338.391729120216</c:v>
                </c:pt>
                <c:pt idx="7">
                  <c:v>34184.348461965987</c:v>
                </c:pt>
                <c:pt idx="8">
                  <c:v>35076.530908422668</c:v>
                </c:pt>
                <c:pt idx="9">
                  <c:v>36028.210096575705</c:v>
                </c:pt>
                <c:pt idx="10">
                  <c:v>37056.078178364718</c:v>
                </c:pt>
                <c:pt idx="11">
                  <c:v>38181.034462036048</c:v>
                </c:pt>
                <c:pt idx="12">
                  <c:v>39429.130946810037</c:v>
                </c:pt>
                <c:pt idx="13">
                  <c:v>40832.705623807051</c:v>
                </c:pt>
                <c:pt idx="14">
                  <c:v>42431.736118493151</c:v>
                </c:pt>
                <c:pt idx="15">
                  <c:v>44275.451116642151</c:v>
                </c:pt>
                <c:pt idx="16">
                  <c:v>46424.242497009</c:v>
                </c:pt>
                <c:pt idx="17">
                  <c:v>48951.92725348047</c:v>
                </c:pt>
                <c:pt idx="18">
                  <c:v>51948.415196599562</c:v>
                </c:pt>
                <c:pt idx="19">
                  <c:v>55522.846153846156</c:v>
                </c:pt>
                <c:pt idx="20">
                  <c:v>61612.829993897511</c:v>
                </c:pt>
                <c:pt idx="21">
                  <c:v>69788.20363895109</c:v>
                </c:pt>
                <c:pt idx="22">
                  <c:v>80795.946706632792</c:v>
                </c:pt>
                <c:pt idx="23">
                  <c:v>95633.870889405516</c:v>
                </c:pt>
                <c:pt idx="24">
                  <c:v>115629.40639104522</c:v>
                </c:pt>
                <c:pt idx="25">
                  <c:v>142541.47908531741</c:v>
                </c:pt>
                <c:pt idx="26">
                  <c:v>178691.77531309222</c:v>
                </c:pt>
                <c:pt idx="27">
                  <c:v>227133.28398716325</c:v>
                </c:pt>
              </c:numCache>
            </c:numRef>
          </c:xVal>
          <c:yVal>
            <c:numRef>
              <c:f>Sheet1!$B$132:$B$159</c:f>
              <c:numCache>
                <c:formatCode>0</c:formatCode>
                <c:ptCount val="28"/>
                <c:pt idx="0">
                  <c:v>0</c:v>
                </c:pt>
                <c:pt idx="1">
                  <c:v>29420.192307692301</c:v>
                </c:pt>
                <c:pt idx="2">
                  <c:v>30120.673076923071</c:v>
                </c:pt>
                <c:pt idx="3">
                  <c:v>30821.15384615384</c:v>
                </c:pt>
                <c:pt idx="4">
                  <c:v>31521.63461538461</c:v>
                </c:pt>
                <c:pt idx="5">
                  <c:v>32222.115384615379</c:v>
                </c:pt>
                <c:pt idx="6">
                  <c:v>32922.596153846149</c:v>
                </c:pt>
                <c:pt idx="7">
                  <c:v>33623.076923076915</c:v>
                </c:pt>
                <c:pt idx="8">
                  <c:v>34323.557692307681</c:v>
                </c:pt>
                <c:pt idx="9">
                  <c:v>35024.038461538446</c:v>
                </c:pt>
                <c:pt idx="10">
                  <c:v>35724.519230769212</c:v>
                </c:pt>
                <c:pt idx="11">
                  <c:v>36424.999999999978</c:v>
                </c:pt>
                <c:pt idx="12">
                  <c:v>37125.480769230744</c:v>
                </c:pt>
                <c:pt idx="13">
                  <c:v>37825.96153846151</c:v>
                </c:pt>
                <c:pt idx="14">
                  <c:v>38526.442307692276</c:v>
                </c:pt>
                <c:pt idx="15">
                  <c:v>39226.923076923042</c:v>
                </c:pt>
                <c:pt idx="16">
                  <c:v>39927.403846153808</c:v>
                </c:pt>
                <c:pt idx="17">
                  <c:v>40627.884615384573</c:v>
                </c:pt>
                <c:pt idx="18">
                  <c:v>41328.365384615339</c:v>
                </c:pt>
                <c:pt idx="19">
                  <c:v>42028.846153846149</c:v>
                </c:pt>
                <c:pt idx="20">
                  <c:v>42650.240384615383</c:v>
                </c:pt>
                <c:pt idx="21">
                  <c:v>43271.634615384617</c:v>
                </c:pt>
                <c:pt idx="22">
                  <c:v>43893.028846153851</c:v>
                </c:pt>
                <c:pt idx="23">
                  <c:v>44514.423076923085</c:v>
                </c:pt>
                <c:pt idx="24">
                  <c:v>45135.817307692319</c:v>
                </c:pt>
                <c:pt idx="25">
                  <c:v>45757.211538461554</c:v>
                </c:pt>
                <c:pt idx="26">
                  <c:v>46378.605769230788</c:v>
                </c:pt>
                <c:pt idx="27">
                  <c:v>47000</c:v>
                </c:pt>
              </c:numCache>
            </c:numRef>
          </c:yVal>
          <c:smooth val="0"/>
          <c:extLst>
            <c:ext xmlns:c16="http://schemas.microsoft.com/office/drawing/2014/chart" uri="{C3380CC4-5D6E-409C-BE32-E72D297353CC}">
              <c16:uniqueId val="{00000000-A8B7-402D-92EE-1BB9E5AFF323}"/>
            </c:ext>
          </c:extLst>
        </c:ser>
        <c:ser>
          <c:idx val="0"/>
          <c:order val="1"/>
          <c:spPr>
            <a:ln w="12700">
              <a:solidFill>
                <a:srgbClr val="000080"/>
              </a:solidFill>
              <a:prstDash val="solid"/>
            </a:ln>
          </c:spPr>
          <c:marker>
            <c:symbol val="none"/>
          </c:marker>
          <c:trendline>
            <c:spPr>
              <a:ln w="12700">
                <a:solidFill>
                  <a:srgbClr val="000000"/>
                </a:solidFill>
                <a:prstDash val="solid"/>
              </a:ln>
            </c:spPr>
            <c:trendlineType val="poly"/>
            <c:order val="4"/>
            <c:dispRSqr val="0"/>
            <c:dispEq val="0"/>
          </c:trendline>
          <c:xVal>
            <c:strRef>
              <c:f>Sheet1!$F$156:$F$188</c:f>
              <c:strCache>
                <c:ptCount val="21"/>
                <c:pt idx="0">
                  <c:v>0.39</c:v>
                </c:pt>
                <c:pt idx="1">
                  <c:v>0.32</c:v>
                </c:pt>
                <c:pt idx="2">
                  <c:v>0.26</c:v>
                </c:pt>
                <c:pt idx="3">
                  <c:v>0.21</c:v>
                </c:pt>
                <c:pt idx="15">
                  <c:v>If you see errors on this spreadsheet it is because you do not have the XL-Viking Plugin, to find out more:</c:v>
                </c:pt>
                <c:pt idx="16">
                  <c:v>www.xl-viking.com</c:v>
                </c:pt>
                <c:pt idx="17">
                  <c:v>R. Abbott</c:v>
                </c:pt>
                <c:pt idx="18">
                  <c:v> </c:v>
                </c:pt>
                <c:pt idx="19">
                  <c:v>Jul-10</c:v>
                </c:pt>
                <c:pt idx="20">
                  <c:v>STANDARD SPREADSHEET METHOD</c:v>
                </c:pt>
              </c:strCache>
            </c:strRef>
          </c:xVal>
          <c:yVal>
            <c:numRef>
              <c:f>Sheet1!$G$156:$G$188</c:f>
              <c:numCache>
                <c:formatCode>0</c:formatCode>
                <c:ptCount val="33"/>
                <c:pt idx="0">
                  <c:v>115629.40639104522</c:v>
                </c:pt>
                <c:pt idx="1">
                  <c:v>142541.47908531741</c:v>
                </c:pt>
                <c:pt idx="2">
                  <c:v>178691.77531309222</c:v>
                </c:pt>
                <c:pt idx="3">
                  <c:v>227133.28398716325</c:v>
                </c:pt>
              </c:numCache>
            </c:numRef>
          </c:yVal>
          <c:smooth val="0"/>
          <c:extLst>
            <c:ext xmlns:c16="http://schemas.microsoft.com/office/drawing/2014/chart" uri="{C3380CC4-5D6E-409C-BE32-E72D297353CC}">
              <c16:uniqueId val="{00000001-A8B7-402D-92EE-1BB9E5AFF323}"/>
            </c:ext>
          </c:extLst>
        </c:ser>
        <c:ser>
          <c:idx val="1"/>
          <c:order val="2"/>
          <c:spPr>
            <a:ln w="12700">
              <a:solidFill>
                <a:srgbClr val="FF00FF"/>
              </a:solidFill>
              <a:prstDash val="solid"/>
            </a:ln>
          </c:spPr>
          <c:marker>
            <c:symbol val="none"/>
          </c:marker>
          <c:trendline>
            <c:spPr>
              <a:ln w="38100">
                <a:solidFill>
                  <a:srgbClr val="000000"/>
                </a:solidFill>
                <a:prstDash val="solid"/>
              </a:ln>
            </c:spPr>
            <c:trendlineType val="log"/>
            <c:dispRSqr val="0"/>
            <c:dispEq val="1"/>
            <c:trendlineLbl>
              <c:layout>
                <c:manualLayout>
                  <c:xMode val="edge"/>
                  <c:yMode val="edge"/>
                  <c:x val="9.5238272392620185E-3"/>
                  <c:y val="2.3017931558118654E-2"/>
                </c:manualLayout>
              </c:layout>
              <c:numFmt formatCode="General" sourceLinked="0"/>
              <c:spPr>
                <a:noFill/>
                <a:ln w="25400">
                  <a:noFill/>
                </a:ln>
              </c:spPr>
            </c:trendlineLbl>
          </c:trendline>
          <c:xVal>
            <c:numRef>
              <c:f>Sheet1!$F$187:$F$200</c:f>
              <c:numCache>
                <c:formatCode>0.00</c:formatCode>
                <c:ptCount val="14"/>
              </c:numCache>
            </c:numRef>
          </c:xVal>
          <c:yVal>
            <c:numRef>
              <c:f>Sheet1!$G$187:$G$200</c:f>
              <c:numCache>
                <c:formatCode>0.0</c:formatCode>
                <c:ptCount val="14"/>
              </c:numCache>
            </c:numRef>
          </c:yVal>
          <c:smooth val="0"/>
          <c:extLst>
            <c:ext xmlns:c16="http://schemas.microsoft.com/office/drawing/2014/chart" uri="{C3380CC4-5D6E-409C-BE32-E72D297353CC}">
              <c16:uniqueId val="{00000002-A8B7-402D-92EE-1BB9E5AFF323}"/>
            </c:ext>
          </c:extLst>
        </c:ser>
        <c:dLbls>
          <c:showLegendKey val="0"/>
          <c:showVal val="0"/>
          <c:showCatName val="0"/>
          <c:showSerName val="0"/>
          <c:showPercent val="0"/>
          <c:showBubbleSize val="0"/>
        </c:dLbls>
        <c:axId val="542001744"/>
        <c:axId val="542002136"/>
      </c:scatterChart>
      <c:valAx>
        <c:axId val="542001744"/>
        <c:scaling>
          <c:orientation val="minMax"/>
          <c:max val="20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Shear Stress (psi)</a:t>
                </a:r>
              </a:p>
            </c:rich>
          </c:tx>
          <c:layout>
            <c:manualLayout>
              <c:xMode val="edge"/>
              <c:yMode val="edge"/>
              <c:x val="0.4038102751606929"/>
              <c:y val="0.930947365594645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42002136"/>
        <c:crosses val="autoZero"/>
        <c:crossBetween val="midCat"/>
      </c:valAx>
      <c:valAx>
        <c:axId val="542002136"/>
        <c:scaling>
          <c:orientation val="minMax"/>
          <c:max val="5000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Shear Stress (psi)</a:t>
                </a:r>
              </a:p>
            </c:rich>
          </c:tx>
          <c:layout>
            <c:manualLayout>
              <c:xMode val="edge"/>
              <c:yMode val="edge"/>
              <c:x val="2.4761933660026606E-2"/>
              <c:y val="0.273657557511192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4200174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44" r="0.75000000000000144" t="1" header="0.49212598450000067" footer="0.4921259845000006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spPr>
            <a:ln w="12700">
              <a:solidFill>
                <a:schemeClr val="tx1"/>
              </a:solidFill>
              <a:prstDash val="solid"/>
            </a:ln>
          </c:spPr>
          <c:marker>
            <c:symbol val="none"/>
          </c:marker>
          <c:xVal>
            <c:numRef>
              <c:f>Sheet1!$I$244:$I$269</c:f>
              <c:numCache>
                <c:formatCode>0</c:formatCode>
                <c:ptCount val="26"/>
                <c:pt idx="0">
                  <c:v>0</c:v>
                </c:pt>
                <c:pt idx="1">
                  <c:v>49383.338981211738</c:v>
                </c:pt>
                <c:pt idx="2">
                  <c:v>51031.364948536815</c:v>
                </c:pt>
                <c:pt idx="3">
                  <c:v>52775.873703310004</c:v>
                </c:pt>
                <c:pt idx="4">
                  <c:v>54636.628810234499</c:v>
                </c:pt>
                <c:pt idx="5">
                  <c:v>56635.519595400539</c:v>
                </c:pt>
                <c:pt idx="6">
                  <c:v>58796.418303778628</c:v>
                </c:pt>
                <c:pt idx="7">
                  <c:v>61145.12248517952</c:v>
                </c:pt>
                <c:pt idx="8">
                  <c:v>63709.53075045345</c:v>
                </c:pt>
                <c:pt idx="9">
                  <c:v>66520.221732003192</c:v>
                </c:pt>
                <c:pt idx="10">
                  <c:v>69611.590719539963</c:v>
                </c:pt>
                <c:pt idx="11">
                  <c:v>73023.641394829741</c:v>
                </c:pt>
                <c:pt idx="12">
                  <c:v>76804.443316912846</c:v>
                </c:pt>
                <c:pt idx="13">
                  <c:v>81013.175808762011</c:v>
                </c:pt>
                <c:pt idx="14">
                  <c:v>85723.616242565666</c:v>
                </c:pt>
                <c:pt idx="15">
                  <c:v>91027.91658275282</c:v>
                </c:pt>
                <c:pt idx="16">
                  <c:v>97040.549384251586</c:v>
                </c:pt>
                <c:pt idx="17">
                  <c:v>109786.47586970021</c:v>
                </c:pt>
                <c:pt idx="18">
                  <c:v>127092.20009062921</c:v>
                </c:pt>
                <c:pt idx="19">
                  <c:v>152770.02268633581</c:v>
                </c:pt>
                <c:pt idx="20">
                  <c:v>191713.84063608455</c:v>
                </c:pt>
                <c:pt idx="21">
                  <c:v>251387.98169617992</c:v>
                </c:pt>
                <c:pt idx="22">
                  <c:v>343131.09373281553</c:v>
                </c:pt>
                <c:pt idx="23">
                  <c:v>484080.1022364294</c:v>
                </c:pt>
                <c:pt idx="24">
                  <c:v>699982.74835807132</c:v>
                </c:pt>
                <c:pt idx="25">
                  <c:v>1029293.1749983419</c:v>
                </c:pt>
              </c:numCache>
            </c:numRef>
          </c:xVal>
          <c:yVal>
            <c:numRef>
              <c:f>Sheet1!$B$244:$B$269</c:f>
              <c:numCache>
                <c:formatCode>0</c:formatCode>
                <c:ptCount val="26"/>
                <c:pt idx="0">
                  <c:v>0</c:v>
                </c:pt>
                <c:pt idx="1">
                  <c:v>48300</c:v>
                </c:pt>
                <c:pt idx="2">
                  <c:v>49593.75</c:v>
                </c:pt>
                <c:pt idx="3">
                  <c:v>50887.5</c:v>
                </c:pt>
                <c:pt idx="4">
                  <c:v>52181.25</c:v>
                </c:pt>
                <c:pt idx="5">
                  <c:v>53475</c:v>
                </c:pt>
                <c:pt idx="6">
                  <c:v>54768.75</c:v>
                </c:pt>
                <c:pt idx="7">
                  <c:v>56062.5</c:v>
                </c:pt>
                <c:pt idx="8">
                  <c:v>57356.25</c:v>
                </c:pt>
                <c:pt idx="9">
                  <c:v>58650</c:v>
                </c:pt>
                <c:pt idx="10">
                  <c:v>59943.75</c:v>
                </c:pt>
                <c:pt idx="11">
                  <c:v>61237.5</c:v>
                </c:pt>
                <c:pt idx="12">
                  <c:v>62531.25</c:v>
                </c:pt>
                <c:pt idx="13">
                  <c:v>63825</c:v>
                </c:pt>
                <c:pt idx="14">
                  <c:v>65118.75</c:v>
                </c:pt>
                <c:pt idx="15">
                  <c:v>66412.5</c:v>
                </c:pt>
                <c:pt idx="16">
                  <c:v>67706.25</c:v>
                </c:pt>
                <c:pt idx="17">
                  <c:v>69000</c:v>
                </c:pt>
                <c:pt idx="18">
                  <c:v>70125</c:v>
                </c:pt>
                <c:pt idx="19">
                  <c:v>71250</c:v>
                </c:pt>
                <c:pt idx="20">
                  <c:v>72375</c:v>
                </c:pt>
                <c:pt idx="21">
                  <c:v>73500</c:v>
                </c:pt>
                <c:pt idx="22">
                  <c:v>74625</c:v>
                </c:pt>
                <c:pt idx="23">
                  <c:v>75750</c:v>
                </c:pt>
                <c:pt idx="24">
                  <c:v>76875</c:v>
                </c:pt>
                <c:pt idx="25">
                  <c:v>78000</c:v>
                </c:pt>
              </c:numCache>
            </c:numRef>
          </c:yVal>
          <c:smooth val="0"/>
          <c:extLst>
            <c:ext xmlns:c16="http://schemas.microsoft.com/office/drawing/2014/chart" uri="{C3380CC4-5D6E-409C-BE32-E72D297353CC}">
              <c16:uniqueId val="{00000000-1D72-404E-8E9A-0515E27AF884}"/>
            </c:ext>
          </c:extLst>
        </c:ser>
        <c:ser>
          <c:idx val="2"/>
          <c:order val="1"/>
          <c:spPr>
            <a:ln w="12700">
              <a:solidFill>
                <a:srgbClr val="3366FF"/>
              </a:solidFill>
              <a:prstDash val="solid"/>
            </a:ln>
          </c:spPr>
          <c:marker>
            <c:symbol val="none"/>
          </c:marker>
          <c:trendline>
            <c:spPr>
              <a:ln w="38100">
                <a:solidFill>
                  <a:srgbClr val="000000"/>
                </a:solidFill>
                <a:prstDash val="solid"/>
              </a:ln>
            </c:spPr>
            <c:trendlineType val="log"/>
            <c:dispRSqr val="0"/>
            <c:dispEq val="1"/>
            <c:trendlineLbl>
              <c:layout>
                <c:manualLayout>
                  <c:x val="-0.10199588796875082"/>
                  <c:y val="-6.4432966986574983E-2"/>
                </c:manualLayout>
              </c:layout>
              <c:numFmt formatCode="General" sourceLinked="0"/>
              <c:spPr>
                <a:noFill/>
                <a:ln w="25400">
                  <a:noFill/>
                </a:ln>
              </c:spPr>
            </c:trendlineLbl>
          </c:trendline>
          <c:xVal>
            <c:strRef>
              <c:f>Sheet1!$I$270:$I$300</c:f>
              <c:strCache>
                <c:ptCount val="18"/>
                <c:pt idx="15">
                  <c:v>Document Number:</c:v>
                </c:pt>
                <c:pt idx="16">
                  <c:v>Revision Level :</c:v>
                </c:pt>
                <c:pt idx="17">
                  <c:v>Page:</c:v>
                </c:pt>
              </c:strCache>
            </c:strRef>
          </c:xVal>
          <c:yVal>
            <c:numRef>
              <c:f>Sheet1!$L$270:$L$300</c:f>
              <c:numCache>
                <c:formatCode>General</c:formatCode>
                <c:ptCount val="31"/>
                <c:pt idx="17">
                  <c:v>6</c:v>
                </c:pt>
              </c:numCache>
            </c:numRef>
          </c:yVal>
          <c:smooth val="0"/>
          <c:extLst>
            <c:ext xmlns:c16="http://schemas.microsoft.com/office/drawing/2014/chart" uri="{C3380CC4-5D6E-409C-BE32-E72D297353CC}">
              <c16:uniqueId val="{00000001-1D72-404E-8E9A-0515E27AF884}"/>
            </c:ext>
          </c:extLst>
        </c:ser>
        <c:dLbls>
          <c:showLegendKey val="0"/>
          <c:showVal val="0"/>
          <c:showCatName val="0"/>
          <c:showSerName val="0"/>
          <c:showPercent val="0"/>
          <c:showBubbleSize val="0"/>
        </c:dLbls>
        <c:axId val="542002920"/>
        <c:axId val="542003312"/>
      </c:scatterChart>
      <c:valAx>
        <c:axId val="54200292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03"/>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42003312"/>
        <c:crosses val="autoZero"/>
        <c:crossBetween val="midCat"/>
      </c:valAx>
      <c:valAx>
        <c:axId val="542003312"/>
        <c:scaling>
          <c:orientation val="minMax"/>
          <c:max val="90000"/>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599E-2"/>
              <c:y val="0.208763157182672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4200292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44" r="0.75000000000000144" t="1" header="0.49212598450000067" footer="0.49212598450000067"/>
    <c:pageSetup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71459396315838"/>
          <c:y val="5.6122448979591837E-2"/>
          <c:w val="0.77523953727592565"/>
          <c:h val="0.81377551020408456"/>
        </c:manualLayout>
      </c:layout>
      <c:scatterChart>
        <c:scatterStyle val="lineMarker"/>
        <c:varyColors val="0"/>
        <c:ser>
          <c:idx val="0"/>
          <c:order val="0"/>
          <c:spPr>
            <a:ln w="12700">
              <a:solidFill>
                <a:schemeClr val="tx1"/>
              </a:solidFill>
              <a:prstDash val="solid"/>
            </a:ln>
          </c:spPr>
          <c:marker>
            <c:symbol val="none"/>
          </c:marker>
          <c:xVal>
            <c:numRef>
              <c:f>Sheet1!$I$355:$I$380</c:f>
              <c:numCache>
                <c:formatCode>0</c:formatCode>
                <c:ptCount val="26"/>
                <c:pt idx="0">
                  <c:v>0</c:v>
                </c:pt>
                <c:pt idx="1">
                  <c:v>38733.46248465086</c:v>
                </c:pt>
                <c:pt idx="2">
                  <c:v>51031.364948536815</c:v>
                </c:pt>
                <c:pt idx="3">
                  <c:v>52775.873703310004</c:v>
                </c:pt>
                <c:pt idx="4">
                  <c:v>54636.628810234499</c:v>
                </c:pt>
                <c:pt idx="5">
                  <c:v>56635.519595400532</c:v>
                </c:pt>
                <c:pt idx="6">
                  <c:v>58796.418303778635</c:v>
                </c:pt>
                <c:pt idx="7">
                  <c:v>61145.122485179512</c:v>
                </c:pt>
                <c:pt idx="8">
                  <c:v>63709.53075045345</c:v>
                </c:pt>
                <c:pt idx="9">
                  <c:v>66520.221732003192</c:v>
                </c:pt>
                <c:pt idx="10">
                  <c:v>69611.590719539963</c:v>
                </c:pt>
                <c:pt idx="11">
                  <c:v>73023.641394829741</c:v>
                </c:pt>
                <c:pt idx="12">
                  <c:v>76804.443316912846</c:v>
                </c:pt>
                <c:pt idx="13">
                  <c:v>81013.175808762011</c:v>
                </c:pt>
                <c:pt idx="14">
                  <c:v>85723.616242565666</c:v>
                </c:pt>
                <c:pt idx="15">
                  <c:v>91027.91658275282</c:v>
                </c:pt>
                <c:pt idx="16">
                  <c:v>97040.549384251586</c:v>
                </c:pt>
                <c:pt idx="17">
                  <c:v>109786.47586970021</c:v>
                </c:pt>
                <c:pt idx="18">
                  <c:v>127092.20009062921</c:v>
                </c:pt>
                <c:pt idx="19">
                  <c:v>152770.02268633584</c:v>
                </c:pt>
                <c:pt idx="20">
                  <c:v>191713.84063608453</c:v>
                </c:pt>
                <c:pt idx="21">
                  <c:v>251387.98169617992</c:v>
                </c:pt>
                <c:pt idx="22">
                  <c:v>343131.09373281553</c:v>
                </c:pt>
                <c:pt idx="23">
                  <c:v>484080.10223642952</c:v>
                </c:pt>
                <c:pt idx="24">
                  <c:v>699982.74835807132</c:v>
                </c:pt>
                <c:pt idx="25">
                  <c:v>1029293.1749983422</c:v>
                </c:pt>
              </c:numCache>
            </c:numRef>
          </c:xVal>
          <c:yVal>
            <c:numRef>
              <c:f>Sheet1!$B$355:$B$380</c:f>
              <c:numCache>
                <c:formatCode>0</c:formatCode>
                <c:ptCount val="26"/>
                <c:pt idx="0">
                  <c:v>0</c:v>
                </c:pt>
                <c:pt idx="1">
                  <c:v>38640</c:v>
                </c:pt>
                <c:pt idx="2">
                  <c:v>49593.75</c:v>
                </c:pt>
                <c:pt idx="3">
                  <c:v>50887.5</c:v>
                </c:pt>
                <c:pt idx="4">
                  <c:v>52181.25</c:v>
                </c:pt>
                <c:pt idx="5">
                  <c:v>53475</c:v>
                </c:pt>
                <c:pt idx="6">
                  <c:v>54768.75</c:v>
                </c:pt>
                <c:pt idx="7">
                  <c:v>56062.5</c:v>
                </c:pt>
                <c:pt idx="8">
                  <c:v>57356.25</c:v>
                </c:pt>
                <c:pt idx="9">
                  <c:v>58650</c:v>
                </c:pt>
                <c:pt idx="10">
                  <c:v>59943.75</c:v>
                </c:pt>
                <c:pt idx="11">
                  <c:v>61237.5</c:v>
                </c:pt>
                <c:pt idx="12">
                  <c:v>62531.25</c:v>
                </c:pt>
                <c:pt idx="13">
                  <c:v>63825</c:v>
                </c:pt>
                <c:pt idx="14">
                  <c:v>65118.75</c:v>
                </c:pt>
                <c:pt idx="15">
                  <c:v>66412.5</c:v>
                </c:pt>
                <c:pt idx="16">
                  <c:v>67706.25</c:v>
                </c:pt>
                <c:pt idx="17">
                  <c:v>69000</c:v>
                </c:pt>
                <c:pt idx="18">
                  <c:v>70125</c:v>
                </c:pt>
                <c:pt idx="19">
                  <c:v>71250</c:v>
                </c:pt>
                <c:pt idx="20">
                  <c:v>72375</c:v>
                </c:pt>
                <c:pt idx="21">
                  <c:v>73500</c:v>
                </c:pt>
                <c:pt idx="22">
                  <c:v>74625</c:v>
                </c:pt>
                <c:pt idx="23">
                  <c:v>75750</c:v>
                </c:pt>
                <c:pt idx="24">
                  <c:v>76875</c:v>
                </c:pt>
                <c:pt idx="25">
                  <c:v>78000</c:v>
                </c:pt>
              </c:numCache>
            </c:numRef>
          </c:yVal>
          <c:smooth val="0"/>
          <c:extLst>
            <c:ext xmlns:c16="http://schemas.microsoft.com/office/drawing/2014/chart" uri="{C3380CC4-5D6E-409C-BE32-E72D297353CC}">
              <c16:uniqueId val="{00000000-210A-496D-9F79-C6A8E5B1E3BF}"/>
            </c:ext>
          </c:extLst>
        </c:ser>
        <c:ser>
          <c:idx val="2"/>
          <c:order val="1"/>
          <c:spPr>
            <a:ln w="12700">
              <a:solidFill>
                <a:srgbClr val="3366FF"/>
              </a:solidFill>
              <a:prstDash val="solid"/>
            </a:ln>
          </c:spPr>
          <c:marker>
            <c:symbol val="none"/>
          </c:marker>
          <c:trendline>
            <c:spPr>
              <a:ln w="38100">
                <a:solidFill>
                  <a:srgbClr val="000000"/>
                </a:solidFill>
                <a:prstDash val="solid"/>
              </a:ln>
            </c:spPr>
            <c:trendlineType val="log"/>
            <c:dispRSqr val="0"/>
            <c:dispEq val="0"/>
          </c:trendline>
          <c:xVal>
            <c:numRef>
              <c:f>Sheet1!$H$412:$H$427</c:f>
              <c:numCache>
                <c:formatCode>0</c:formatCode>
                <c:ptCount val="16"/>
              </c:numCache>
            </c:numRef>
          </c:xVal>
          <c:yVal>
            <c:numRef>
              <c:f>Sheet1!$I$412:$I$427</c:f>
              <c:numCache>
                <c:formatCode>0</c:formatCode>
                <c:ptCount val="16"/>
              </c:numCache>
            </c:numRef>
          </c:yVal>
          <c:smooth val="0"/>
          <c:extLst>
            <c:ext xmlns:c16="http://schemas.microsoft.com/office/drawing/2014/chart" uri="{C3380CC4-5D6E-409C-BE32-E72D297353CC}">
              <c16:uniqueId val="{00000001-210A-496D-9F79-C6A8E5B1E3BF}"/>
            </c:ext>
          </c:extLst>
        </c:ser>
        <c:dLbls>
          <c:showLegendKey val="0"/>
          <c:showVal val="0"/>
          <c:showCatName val="0"/>
          <c:showSerName val="0"/>
          <c:showPercent val="0"/>
          <c:showBubbleSize val="0"/>
        </c:dLbls>
        <c:axId val="542003704"/>
        <c:axId val="542004488"/>
      </c:scatterChart>
      <c:valAx>
        <c:axId val="542003704"/>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sz="925" b="0" i="0" u="none" strike="noStrike" baseline="0">
                    <a:solidFill>
                      <a:srgbClr val="000000"/>
                    </a:solidFill>
                    <a:latin typeface="Arial"/>
                    <a:ea typeface="Arial"/>
                    <a:cs typeface="Arial"/>
                  </a:defRPr>
                </a:pPr>
                <a:r>
                  <a:rPr lang="en-CA"/>
                  <a:t>Elastic Flange Compression Stress (psi)</a:t>
                </a:r>
              </a:p>
            </c:rich>
          </c:tx>
          <c:layout>
            <c:manualLayout>
              <c:xMode val="edge"/>
              <c:yMode val="edge"/>
              <c:x val="0.3314292071872536"/>
              <c:y val="0.928571332675489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542004488"/>
        <c:crosses val="autoZero"/>
        <c:crossBetween val="midCat"/>
      </c:valAx>
      <c:valAx>
        <c:axId val="542004488"/>
        <c:scaling>
          <c:orientation val="minMax"/>
          <c:max val="90000"/>
          <c:min val="0"/>
        </c:scaling>
        <c:delete val="0"/>
        <c:axPos val="l"/>
        <c:majorGridlines>
          <c:spPr>
            <a:ln w="3175">
              <a:solidFill>
                <a:schemeClr val="tx1">
                  <a:lumMod val="50000"/>
                  <a:lumOff val="50000"/>
                </a:schemeClr>
              </a:solidFill>
              <a:prstDash val="solid"/>
            </a:ln>
          </c:spPr>
        </c:majorGridlines>
        <c:title>
          <c:tx>
            <c:rich>
              <a:bodyPr/>
              <a:lstStyle/>
              <a:p>
                <a:pPr>
                  <a:defRPr sz="925" b="0" i="0" u="none" strike="noStrike" baseline="0">
                    <a:solidFill>
                      <a:srgbClr val="000000"/>
                    </a:solidFill>
                    <a:latin typeface="Arial"/>
                    <a:ea typeface="Arial"/>
                    <a:cs typeface="Arial"/>
                  </a:defRPr>
                </a:pPr>
                <a:r>
                  <a:rPr lang="en-CA"/>
                  <a:t>Plastic Flange Compression Stress (psi)</a:t>
                </a:r>
              </a:p>
            </c:rich>
          </c:tx>
          <c:layout>
            <c:manualLayout>
              <c:xMode val="edge"/>
              <c:yMode val="edge"/>
              <c:x val="3.4285800980079897E-2"/>
              <c:y val="0.1709183666619682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54200370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49212598450000067" footer="0.4921259845000006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1"/>
          <c:y val="4.0169133192388996E-2"/>
          <c:w val="0.79840569407990669"/>
          <c:h val="0.85623678646934454"/>
        </c:manualLayout>
      </c:layout>
      <c:scatterChart>
        <c:scatterStyle val="lineMarker"/>
        <c:varyColors val="0"/>
        <c:ser>
          <c:idx val="0"/>
          <c:order val="0"/>
          <c:tx>
            <c:v>Elastic Euler Column Allowable</c:v>
          </c:tx>
          <c:spPr>
            <a:ln w="12700">
              <a:solidFill>
                <a:schemeClr val="tx1"/>
              </a:solidFill>
              <a:prstDash val="dash"/>
            </a:ln>
          </c:spPr>
          <c:marker>
            <c:symbol val="none"/>
          </c:marker>
          <c:xVal>
            <c:numRef>
              <c:f>Sheet1!$B$468:$B$505</c:f>
              <c:numCache>
                <c:formatCode>0</c:formatCode>
                <c:ptCount val="38"/>
                <c:pt idx="0">
                  <c:v>4.0499970925981579</c:v>
                </c:pt>
                <c:pt idx="1">
                  <c:v>8.0999941851963158</c:v>
                </c:pt>
                <c:pt idx="2">
                  <c:v>12.149991277794474</c:v>
                </c:pt>
                <c:pt idx="3">
                  <c:v>16.199988370392632</c:v>
                </c:pt>
                <c:pt idx="4">
                  <c:v>20.249985462990789</c:v>
                </c:pt>
                <c:pt idx="5">
                  <c:v>24.299982555588947</c:v>
                </c:pt>
                <c:pt idx="6">
                  <c:v>28.349979648187105</c:v>
                </c:pt>
                <c:pt idx="7">
                  <c:v>32.399976740785263</c:v>
                </c:pt>
                <c:pt idx="8">
                  <c:v>36.449973833383424</c:v>
                </c:pt>
                <c:pt idx="9">
                  <c:v>37.214844371901755</c:v>
                </c:pt>
                <c:pt idx="10">
                  <c:v>37.979714910420086</c:v>
                </c:pt>
                <c:pt idx="11">
                  <c:v>38.744585448938416</c:v>
                </c:pt>
                <c:pt idx="12">
                  <c:v>39.509455987456747</c:v>
                </c:pt>
                <c:pt idx="13">
                  <c:v>40.274326525975077</c:v>
                </c:pt>
                <c:pt idx="14">
                  <c:v>41.039197064493408</c:v>
                </c:pt>
                <c:pt idx="15">
                  <c:v>41.804067603011738</c:v>
                </c:pt>
                <c:pt idx="16">
                  <c:v>42.568938141530069</c:v>
                </c:pt>
                <c:pt idx="17">
                  <c:v>43.333808680048399</c:v>
                </c:pt>
                <c:pt idx="18">
                  <c:v>44.09867921856673</c:v>
                </c:pt>
                <c:pt idx="19">
                  <c:v>44.86354975708506</c:v>
                </c:pt>
                <c:pt idx="20">
                  <c:v>45.628420295603391</c:v>
                </c:pt>
                <c:pt idx="21">
                  <c:v>46.393290834121721</c:v>
                </c:pt>
                <c:pt idx="22">
                  <c:v>47.158161372640052</c:v>
                </c:pt>
                <c:pt idx="23">
                  <c:v>47.923031911158382</c:v>
                </c:pt>
                <c:pt idx="24">
                  <c:v>48.687902449676713</c:v>
                </c:pt>
                <c:pt idx="25">
                  <c:v>49.452772988195044</c:v>
                </c:pt>
                <c:pt idx="26">
                  <c:v>50.217643526713374</c:v>
                </c:pt>
                <c:pt idx="27">
                  <c:v>50.982514065231705</c:v>
                </c:pt>
                <c:pt idx="28">
                  <c:v>51.747384603750035</c:v>
                </c:pt>
                <c:pt idx="29">
                  <c:v>52.512255142268366</c:v>
                </c:pt>
                <c:pt idx="30">
                  <c:v>53.277125680786696</c:v>
                </c:pt>
                <c:pt idx="31">
                  <c:v>54.041996219305027</c:v>
                </c:pt>
                <c:pt idx="32">
                  <c:v>54.806866757823371</c:v>
                </c:pt>
                <c:pt idx="33">
                  <c:v>64.806866757823371</c:v>
                </c:pt>
                <c:pt idx="34">
                  <c:v>74.806866757823371</c:v>
                </c:pt>
                <c:pt idx="35">
                  <c:v>84.806866757823371</c:v>
                </c:pt>
                <c:pt idx="36">
                  <c:v>94.806866757823371</c:v>
                </c:pt>
                <c:pt idx="37">
                  <c:v>104.80686675782337</c:v>
                </c:pt>
              </c:numCache>
            </c:numRef>
          </c:xVal>
          <c:yVal>
            <c:numRef>
              <c:f>Sheet1!$I$468:$I$505</c:f>
              <c:numCache>
                <c:formatCode>0</c:formatCode>
                <c:ptCount val="38"/>
                <c:pt idx="0">
                  <c:v>6318000.0000000028</c:v>
                </c:pt>
                <c:pt idx="1">
                  <c:v>1579500.0000000007</c:v>
                </c:pt>
                <c:pt idx="2">
                  <c:v>702000.00000000023</c:v>
                </c:pt>
                <c:pt idx="3">
                  <c:v>394875.00000000017</c:v>
                </c:pt>
                <c:pt idx="4">
                  <c:v>252720.00000000009</c:v>
                </c:pt>
                <c:pt idx="5">
                  <c:v>175500.00000000006</c:v>
                </c:pt>
                <c:pt idx="6">
                  <c:v>128938.77551020413</c:v>
                </c:pt>
                <c:pt idx="7">
                  <c:v>98718.750000000044</c:v>
                </c:pt>
                <c:pt idx="8">
                  <c:v>78000.000000000015</c:v>
                </c:pt>
                <c:pt idx="9">
                  <c:v>74826.706495542487</c:v>
                </c:pt>
                <c:pt idx="10">
                  <c:v>71843.195927699824</c:v>
                </c:pt>
                <c:pt idx="11">
                  <c:v>69034.63094705125</c:v>
                </c:pt>
                <c:pt idx="12">
                  <c:v>66387.596355295507</c:v>
                </c:pt>
                <c:pt idx="13">
                  <c:v>63889.938611898164</c:v>
                </c:pt>
                <c:pt idx="14">
                  <c:v>61530.626080806076</c:v>
                </c:pt>
                <c:pt idx="15">
                  <c:v>59299.627009775322</c:v>
                </c:pt>
                <c:pt idx="16">
                  <c:v>57187.802716726277</c:v>
                </c:pt>
                <c:pt idx="17">
                  <c:v>55186.813855123422</c:v>
                </c:pt>
                <c:pt idx="18">
                  <c:v>53289.037959616639</c:v>
                </c:pt>
                <c:pt idx="19">
                  <c:v>51487.496746778088</c:v>
                </c:pt>
                <c:pt idx="20">
                  <c:v>49775.791873896706</c:v>
                </c:pt>
                <c:pt idx="21">
                  <c:v>48148.048049627905</c:v>
                </c:pt>
                <c:pt idx="22">
                  <c:v>46598.862550435297</c:v>
                </c:pt>
                <c:pt idx="23">
                  <c:v>45123.26033155121</c:v>
                </c:pt>
                <c:pt idx="24">
                  <c:v>43716.654034967498</c:v>
                </c:pt>
                <c:pt idx="25">
                  <c:v>42374.808293292845</c:v>
                </c:pt>
                <c:pt idx="26">
                  <c:v>41093.807810081402</c:v>
                </c:pt>
                <c:pt idx="27">
                  <c:v>39870.028766831427</c:v>
                </c:pt>
                <c:pt idx="28">
                  <c:v>38700.113166238938</c:v>
                </c:pt>
                <c:pt idx="29">
                  <c:v>37580.945772090767</c:v>
                </c:pt>
                <c:pt idx="30">
                  <c:v>36509.633349742406</c:v>
                </c:pt>
                <c:pt idx="31">
                  <c:v>35483.485948565234</c:v>
                </c:pt>
                <c:pt idx="32">
                  <c:v>34500</c:v>
                </c:pt>
                <c:pt idx="33">
                  <c:v>24674.422366666433</c:v>
                </c:pt>
                <c:pt idx="34">
                  <c:v>18518.513161896055</c:v>
                </c:pt>
                <c:pt idx="35">
                  <c:v>14408.773285090545</c:v>
                </c:pt>
                <c:pt idx="36">
                  <c:v>11529.472998567115</c:v>
                </c:pt>
                <c:pt idx="37">
                  <c:v>9434.2975389466264</c:v>
                </c:pt>
              </c:numCache>
            </c:numRef>
          </c:yVal>
          <c:smooth val="0"/>
          <c:extLst>
            <c:ext xmlns:c16="http://schemas.microsoft.com/office/drawing/2014/chart" uri="{C3380CC4-5D6E-409C-BE32-E72D297353CC}">
              <c16:uniqueId val="{00000000-32FB-4EDA-AEBB-9DC9DDD2CD37}"/>
            </c:ext>
          </c:extLst>
        </c:ser>
        <c:ser>
          <c:idx val="2"/>
          <c:order val="1"/>
          <c:tx>
            <c:v>Tangent Modulus Based Column Allowable</c:v>
          </c:tx>
          <c:spPr>
            <a:ln w="25400">
              <a:solidFill>
                <a:srgbClr val="000000"/>
              </a:solidFill>
              <a:prstDash val="solid"/>
            </a:ln>
          </c:spPr>
          <c:marker>
            <c:symbol val="none"/>
          </c:marker>
          <c:xVal>
            <c:numRef>
              <c:f>Sheet1!$C$467:$C$505</c:f>
              <c:numCache>
                <c:formatCode>0.00</c:formatCode>
                <c:ptCount val="39"/>
                <c:pt idx="0">
                  <c:v>0</c:v>
                </c:pt>
                <c:pt idx="1">
                  <c:v>1.0433203998682714</c:v>
                </c:pt>
                <c:pt idx="2">
                  <c:v>2.0866407997365428</c:v>
                </c:pt>
                <c:pt idx="3">
                  <c:v>3.1299611996048142</c:v>
                </c:pt>
                <c:pt idx="4">
                  <c:v>4.1732815994730856</c:v>
                </c:pt>
                <c:pt idx="5">
                  <c:v>5.216601999341357</c:v>
                </c:pt>
                <c:pt idx="6">
                  <c:v>6.2599223992096285</c:v>
                </c:pt>
                <c:pt idx="7">
                  <c:v>7.3032427990778999</c:v>
                </c:pt>
                <c:pt idx="8">
                  <c:v>8.3465631989461713</c:v>
                </c:pt>
                <c:pt idx="9">
                  <c:v>10.35685670184948</c:v>
                </c:pt>
                <c:pt idx="10">
                  <c:v>12.987724868738177</c:v>
                </c:pt>
                <c:pt idx="11">
                  <c:v>16.0368719154961</c:v>
                </c:pt>
                <c:pt idx="12">
                  <c:v>19.440003128492172</c:v>
                </c:pt>
                <c:pt idx="13">
                  <c:v>23.068757350308154</c:v>
                </c:pt>
                <c:pt idx="14">
                  <c:v>26.743196424403926</c:v>
                </c:pt>
                <c:pt idx="15">
                  <c:v>30.269375816576311</c:v>
                </c:pt>
                <c:pt idx="16">
                  <c:v>33.48770438844231</c:v>
                </c:pt>
                <c:pt idx="17">
                  <c:v>36.306959362818482</c:v>
                </c:pt>
                <c:pt idx="18">
                  <c:v>38.708848885397778</c:v>
                </c:pt>
                <c:pt idx="19">
                  <c:v>40.728747305533304</c:v>
                </c:pt>
                <c:pt idx="20">
                  <c:v>42.429062177031682</c:v>
                </c:pt>
                <c:pt idx="21">
                  <c:v>43.877864244462309</c:v>
                </c:pt>
                <c:pt idx="22">
                  <c:v>45.136682023297581</c:v>
                </c:pt>
                <c:pt idx="23">
                  <c:v>46.255785432539213</c:v>
                </c:pt>
                <c:pt idx="24">
                  <c:v>47.273854930888341</c:v>
                </c:pt>
                <c:pt idx="25">
                  <c:v>48.219580792447829</c:v>
                </c:pt>
                <c:pt idx="26">
                  <c:v>49.113772056850074</c:v>
                </c:pt>
                <c:pt idx="27">
                  <c:v>49.97132296174992</c:v>
                </c:pt>
                <c:pt idx="28">
                  <c:v>50.802816965421997</c:v>
                </c:pt>
                <c:pt idx="29">
                  <c:v>51.615749407784179</c:v>
                </c:pt>
                <c:pt idx="30">
                  <c:v>52.415424782959953</c:v>
                </c:pt>
                <c:pt idx="31">
                  <c:v>53.205600928391746</c:v>
                </c:pt>
                <c:pt idx="32">
                  <c:v>53.988945749570995</c:v>
                </c:pt>
                <c:pt idx="33">
                  <c:v>54.767358865167033</c:v>
                </c:pt>
                <c:pt idx="34">
                  <c:v>64.805695547666616</c:v>
                </c:pt>
                <c:pt idx="35">
                  <c:v>74.806809224844329</c:v>
                </c:pt>
                <c:pt idx="36">
                  <c:v>84.806862630802058</c:v>
                </c:pt>
                <c:pt idx="37">
                  <c:v>94.806866360583854</c:v>
                </c:pt>
                <c:pt idx="38">
                  <c:v>104.80686670946145</c:v>
                </c:pt>
              </c:numCache>
            </c:numRef>
          </c:xVal>
          <c:yVal>
            <c:numRef>
              <c:f>Sheet1!$F$467:$F$505</c:f>
              <c:numCache>
                <c:formatCode>0</c:formatCode>
                <c:ptCount val="39"/>
                <c:pt idx="0">
                  <c:v>78000</c:v>
                </c:pt>
                <c:pt idx="1">
                  <c:v>78000</c:v>
                </c:pt>
                <c:pt idx="2">
                  <c:v>78000</c:v>
                </c:pt>
                <c:pt idx="3">
                  <c:v>78000</c:v>
                </c:pt>
                <c:pt idx="4">
                  <c:v>78000</c:v>
                </c:pt>
                <c:pt idx="5">
                  <c:v>78000</c:v>
                </c:pt>
                <c:pt idx="6">
                  <c:v>78000</c:v>
                </c:pt>
                <c:pt idx="7">
                  <c:v>78000</c:v>
                </c:pt>
                <c:pt idx="8">
                  <c:v>78000</c:v>
                </c:pt>
                <c:pt idx="9">
                  <c:v>76514.285714285739</c:v>
                </c:pt>
                <c:pt idx="10">
                  <c:v>73401.435895627394</c:v>
                </c:pt>
                <c:pt idx="11">
                  <c:v>70474.754100505554</c:v>
                </c:pt>
                <c:pt idx="12">
                  <c:v>67719.685595678849</c:v>
                </c:pt>
                <c:pt idx="13">
                  <c:v>65123.070710432738</c:v>
                </c:pt>
                <c:pt idx="14">
                  <c:v>62672.987400242964</c:v>
                </c:pt>
                <c:pt idx="15">
                  <c:v>60358.614155457391</c:v>
                </c:pt>
                <c:pt idx="16">
                  <c:v>58170.110304827227</c:v>
                </c:pt>
                <c:pt idx="17">
                  <c:v>56098.511236407685</c:v>
                </c:pt>
                <c:pt idx="18">
                  <c:v>54135.636448359168</c:v>
                </c:pt>
                <c:pt idx="19">
                  <c:v>52274.008665147754</c:v>
                </c:pt>
                <c:pt idx="20">
                  <c:v>50506.782523029935</c:v>
                </c:pt>
                <c:pt idx="21">
                  <c:v>48827.68155248915</c:v>
                </c:pt>
                <c:pt idx="22">
                  <c:v>47230.942372492143</c:v>
                </c:pt>
                <c:pt idx="23">
                  <c:v>45711.265168522244</c:v>
                </c:pt>
                <c:pt idx="24">
                  <c:v>44263.76965856929</c:v>
                </c:pt>
                <c:pt idx="25">
                  <c:v>42883.955862872885</c:v>
                </c:pt>
                <c:pt idx="26">
                  <c:v>41567.669087706323</c:v>
                </c:pt>
                <c:pt idx="27">
                  <c:v>40311.068613698902</c:v>
                </c:pt>
                <c:pt idx="28">
                  <c:v>39110.599647463212</c:v>
                </c:pt>
                <c:pt idx="29">
                  <c:v>37962.968153548674</c:v>
                </c:pt>
                <c:pt idx="30">
                  <c:v>36865.118233574758</c:v>
                </c:pt>
                <c:pt idx="31">
                  <c:v>35814.211762128267</c:v>
                </c:pt>
                <c:pt idx="32">
                  <c:v>34807.610025735419</c:v>
                </c:pt>
                <c:pt idx="33">
                  <c:v>33842.857142857145</c:v>
                </c:pt>
                <c:pt idx="34">
                  <c:v>24204.433369206119</c:v>
                </c:pt>
                <c:pt idx="35">
                  <c:v>18165.779577859943</c:v>
                </c:pt>
                <c:pt idx="36">
                  <c:v>14134.320460612631</c:v>
                </c:pt>
                <c:pt idx="37">
                  <c:v>11309.863989070598</c:v>
                </c:pt>
                <c:pt idx="38">
                  <c:v>9254.5966334428813</c:v>
                </c:pt>
              </c:numCache>
            </c:numRef>
          </c:yVal>
          <c:smooth val="0"/>
          <c:extLst>
            <c:ext xmlns:c16="http://schemas.microsoft.com/office/drawing/2014/chart" uri="{C3380CC4-5D6E-409C-BE32-E72D297353CC}">
              <c16:uniqueId val="{00000001-32FB-4EDA-AEBB-9DC9DDD2CD37}"/>
            </c:ext>
          </c:extLst>
        </c:ser>
        <c:ser>
          <c:idx val="4"/>
          <c:order val="2"/>
          <c:tx>
            <c:v>Johnson Column Allowable based on Fcy</c:v>
          </c:tx>
          <c:spPr>
            <a:ln w="12700">
              <a:solidFill>
                <a:schemeClr val="tx1"/>
              </a:solidFill>
              <a:prstDash val="solid"/>
            </a:ln>
          </c:spPr>
          <c:marker>
            <c:symbol val="none"/>
          </c:marker>
          <c:xVal>
            <c:numRef>
              <c:f>Sheet1!$B$468:$B$505</c:f>
              <c:numCache>
                <c:formatCode>0</c:formatCode>
                <c:ptCount val="38"/>
                <c:pt idx="0">
                  <c:v>4.0499970925981579</c:v>
                </c:pt>
                <c:pt idx="1">
                  <c:v>8.0999941851963158</c:v>
                </c:pt>
                <c:pt idx="2">
                  <c:v>12.149991277794474</c:v>
                </c:pt>
                <c:pt idx="3">
                  <c:v>16.199988370392632</c:v>
                </c:pt>
                <c:pt idx="4">
                  <c:v>20.249985462990789</c:v>
                </c:pt>
                <c:pt idx="5">
                  <c:v>24.299982555588947</c:v>
                </c:pt>
                <c:pt idx="6">
                  <c:v>28.349979648187105</c:v>
                </c:pt>
                <c:pt idx="7">
                  <c:v>32.399976740785263</c:v>
                </c:pt>
                <c:pt idx="8">
                  <c:v>36.449973833383424</c:v>
                </c:pt>
                <c:pt idx="9">
                  <c:v>37.214844371901755</c:v>
                </c:pt>
                <c:pt idx="10">
                  <c:v>37.979714910420086</c:v>
                </c:pt>
                <c:pt idx="11">
                  <c:v>38.744585448938416</c:v>
                </c:pt>
                <c:pt idx="12">
                  <c:v>39.509455987456747</c:v>
                </c:pt>
                <c:pt idx="13">
                  <c:v>40.274326525975077</c:v>
                </c:pt>
                <c:pt idx="14">
                  <c:v>41.039197064493408</c:v>
                </c:pt>
                <c:pt idx="15">
                  <c:v>41.804067603011738</c:v>
                </c:pt>
                <c:pt idx="16">
                  <c:v>42.568938141530069</c:v>
                </c:pt>
                <c:pt idx="17">
                  <c:v>43.333808680048399</c:v>
                </c:pt>
                <c:pt idx="18">
                  <c:v>44.09867921856673</c:v>
                </c:pt>
                <c:pt idx="19">
                  <c:v>44.86354975708506</c:v>
                </c:pt>
                <c:pt idx="20">
                  <c:v>45.628420295603391</c:v>
                </c:pt>
                <c:pt idx="21">
                  <c:v>46.393290834121721</c:v>
                </c:pt>
                <c:pt idx="22">
                  <c:v>47.158161372640052</c:v>
                </c:pt>
                <c:pt idx="23">
                  <c:v>47.923031911158382</c:v>
                </c:pt>
                <c:pt idx="24">
                  <c:v>48.687902449676713</c:v>
                </c:pt>
                <c:pt idx="25">
                  <c:v>49.452772988195044</c:v>
                </c:pt>
                <c:pt idx="26">
                  <c:v>50.217643526713374</c:v>
                </c:pt>
                <c:pt idx="27">
                  <c:v>50.982514065231705</c:v>
                </c:pt>
                <c:pt idx="28">
                  <c:v>51.747384603750035</c:v>
                </c:pt>
                <c:pt idx="29">
                  <c:v>52.512255142268366</c:v>
                </c:pt>
                <c:pt idx="30">
                  <c:v>53.277125680786696</c:v>
                </c:pt>
                <c:pt idx="31">
                  <c:v>54.041996219305027</c:v>
                </c:pt>
                <c:pt idx="32">
                  <c:v>54.806866757823371</c:v>
                </c:pt>
                <c:pt idx="33">
                  <c:v>64.806866757823371</c:v>
                </c:pt>
                <c:pt idx="34">
                  <c:v>74.806866757823371</c:v>
                </c:pt>
                <c:pt idx="35">
                  <c:v>84.806866757823371</c:v>
                </c:pt>
                <c:pt idx="36">
                  <c:v>94.806866757823371</c:v>
                </c:pt>
                <c:pt idx="37">
                  <c:v>104.80686675782337</c:v>
                </c:pt>
              </c:numCache>
            </c:numRef>
          </c:xVal>
          <c:yVal>
            <c:numRef>
              <c:f>Sheet1!$H$468:$H$505</c:f>
              <c:numCache>
                <c:formatCode>0</c:formatCode>
                <c:ptCount val="38"/>
                <c:pt idx="0">
                  <c:v>68811.609686609692</c:v>
                </c:pt>
                <c:pt idx="1">
                  <c:v>68246.43874643874</c:v>
                </c:pt>
                <c:pt idx="2">
                  <c:v>67304.487179487187</c:v>
                </c:pt>
                <c:pt idx="3">
                  <c:v>65985.754985754989</c:v>
                </c:pt>
                <c:pt idx="4">
                  <c:v>64290.242165242169</c:v>
                </c:pt>
                <c:pt idx="5">
                  <c:v>62217.948717948719</c:v>
                </c:pt>
                <c:pt idx="6">
                  <c:v>59768.874643874646</c:v>
                </c:pt>
                <c:pt idx="7">
                  <c:v>56943.01994301995</c:v>
                </c:pt>
                <c:pt idx="8">
                  <c:v>53740.384615384617</c:v>
                </c:pt>
                <c:pt idx="9">
                  <c:v>53093.246171794235</c:v>
                </c:pt>
                <c:pt idx="10">
                  <c:v>52432.6690978806</c:v>
                </c:pt>
                <c:pt idx="11">
                  <c:v>51758.653393643726</c:v>
                </c:pt>
                <c:pt idx="12">
                  <c:v>51071.199059083607</c:v>
                </c:pt>
                <c:pt idx="13">
                  <c:v>50370.306094200241</c:v>
                </c:pt>
                <c:pt idx="14">
                  <c:v>49655.974498993637</c:v>
                </c:pt>
                <c:pt idx="15">
                  <c:v>48928.20427346378</c:v>
                </c:pt>
                <c:pt idx="16">
                  <c:v>48186.995417610684</c:v>
                </c:pt>
                <c:pt idx="17">
                  <c:v>47432.347931434357</c:v>
                </c:pt>
                <c:pt idx="18">
                  <c:v>46664.261814934769</c:v>
                </c:pt>
                <c:pt idx="19">
                  <c:v>45882.737068111943</c:v>
                </c:pt>
                <c:pt idx="20">
                  <c:v>45087.773690965871</c:v>
                </c:pt>
                <c:pt idx="21">
                  <c:v>44279.37168349656</c:v>
                </c:pt>
                <c:pt idx="22">
                  <c:v>43457.531045704003</c:v>
                </c:pt>
                <c:pt idx="23">
                  <c:v>42622.251777588201</c:v>
                </c:pt>
                <c:pt idx="24">
                  <c:v>41773.533879149152</c:v>
                </c:pt>
                <c:pt idx="25">
                  <c:v>40911.377350386865</c:v>
                </c:pt>
                <c:pt idx="26">
                  <c:v>40035.782191301332</c:v>
                </c:pt>
                <c:pt idx="27">
                  <c:v>39146.748401892561</c:v>
                </c:pt>
                <c:pt idx="28">
                  <c:v>38244.275982160543</c:v>
                </c:pt>
                <c:pt idx="29">
                  <c:v>37328.364932105273</c:v>
                </c:pt>
                <c:pt idx="30">
                  <c:v>36399.015251726771</c:v>
                </c:pt>
                <c:pt idx="31">
                  <c:v>35456.226941025008</c:v>
                </c:pt>
                <c:pt idx="32">
                  <c:v>34500</c:v>
                </c:pt>
                <c:pt idx="33">
                  <c:v>20761.788693057642</c:v>
                </c:pt>
                <c:pt idx="34">
                  <c:v>4726.4814083954334</c:v>
                </c:pt>
                <c:pt idx="35">
                  <c:v>-13605.921853986642</c:v>
                </c:pt>
                <c:pt idx="36">
                  <c:v>-34235.421094088568</c:v>
                </c:pt>
                <c:pt idx="37">
                  <c:v>-57162.016311910353</c:v>
                </c:pt>
              </c:numCache>
            </c:numRef>
          </c:yVal>
          <c:smooth val="0"/>
          <c:extLst>
            <c:ext xmlns:c16="http://schemas.microsoft.com/office/drawing/2014/chart" uri="{C3380CC4-5D6E-409C-BE32-E72D297353CC}">
              <c16:uniqueId val="{00000002-32FB-4EDA-AEBB-9DC9DDD2CD37}"/>
            </c:ext>
          </c:extLst>
        </c:ser>
        <c:dLbls>
          <c:showLegendKey val="0"/>
          <c:showVal val="0"/>
          <c:showCatName val="0"/>
          <c:showSerName val="0"/>
          <c:showPercent val="0"/>
          <c:showBubbleSize val="0"/>
        </c:dLbls>
        <c:axId val="542005272"/>
        <c:axId val="542006056"/>
      </c:scatterChart>
      <c:valAx>
        <c:axId val="5420052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L/Rho</a:t>
                </a:r>
              </a:p>
            </c:rich>
          </c:tx>
          <c:layout>
            <c:manualLayout>
              <c:xMode val="edge"/>
              <c:yMode val="edge"/>
              <c:x val="0.50248886631106549"/>
              <c:y val="0.9429175255532082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42006056"/>
        <c:crosses val="autoZero"/>
        <c:crossBetween val="midCat"/>
        <c:majorUnit val="20"/>
      </c:valAx>
      <c:valAx>
        <c:axId val="542006056"/>
        <c:scaling>
          <c:orientation val="minMax"/>
          <c:max val="85000"/>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6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42005272"/>
        <c:crosses val="autoZero"/>
        <c:crossBetween val="midCat"/>
      </c:valAx>
      <c:spPr>
        <a:noFill/>
        <a:ln w="25400">
          <a:noFill/>
        </a:ln>
      </c:spPr>
    </c:plotArea>
    <c:legend>
      <c:legendPos val="r"/>
      <c:layout>
        <c:manualLayout>
          <c:xMode val="edge"/>
          <c:yMode val="edge"/>
          <c:x val="0.51638533118853203"/>
          <c:y val="0.12693647440411421"/>
          <c:w val="0.44139248003413739"/>
          <c:h val="0.1949845785175262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44" r="0.75000000000000144" t="1" header="0.49212598450000067" footer="0.49212598450000067"/>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gif"/><Relationship Id="rId4" Type="http://schemas.openxmlformats.org/officeDocument/2006/relationships/chart" Target="../charts/chart4.xml"/><Relationship Id="rId9"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55819221"/>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4" name="Picture 3"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66</xdr:row>
      <xdr:rowOff>17930</xdr:rowOff>
    </xdr:from>
    <xdr:to>
      <xdr:col>10</xdr:col>
      <xdr:colOff>0</xdr:colOff>
      <xdr:row>90</xdr:row>
      <xdr:rowOff>17930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90</xdr:row>
      <xdr:rowOff>17606</xdr:rowOff>
    </xdr:from>
    <xdr:to>
      <xdr:col>10</xdr:col>
      <xdr:colOff>0</xdr:colOff>
      <xdr:row>113</xdr:row>
      <xdr:rowOff>11205</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590550</xdr:colOff>
      <xdr:row>181</xdr:row>
      <xdr:rowOff>123825</xdr:rowOff>
    </xdr:from>
    <xdr:to>
      <xdr:col>10</xdr:col>
      <xdr:colOff>0</xdr:colOff>
      <xdr:row>204</xdr:row>
      <xdr:rowOff>123825</xdr:rowOff>
    </xdr:to>
    <xdr:graphicFrame macro="">
      <xdr:nvGraphicFramePr>
        <xdr:cNvPr id="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428625</xdr:colOff>
      <xdr:row>293</xdr:row>
      <xdr:rowOff>38100</xdr:rowOff>
    </xdr:from>
    <xdr:to>
      <xdr:col>10</xdr:col>
      <xdr:colOff>0</xdr:colOff>
      <xdr:row>316</xdr:row>
      <xdr:rowOff>9525</xdr:rowOff>
    </xdr:to>
    <xdr:graphicFrame macro="">
      <xdr:nvGraphicFramePr>
        <xdr:cNvPr id="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0</xdr:col>
      <xdr:colOff>457200</xdr:colOff>
      <xdr:row>405</xdr:row>
      <xdr:rowOff>13446</xdr:rowOff>
    </xdr:from>
    <xdr:to>
      <xdr:col>10</xdr:col>
      <xdr:colOff>0</xdr:colOff>
      <xdr:row>428</xdr:row>
      <xdr:rowOff>13447</xdr:rowOff>
    </xdr:to>
    <xdr:graphicFrame macro="">
      <xdr:nvGraphicFramePr>
        <xdr:cNvPr id="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xdr:col>
      <xdr:colOff>0</xdr:colOff>
      <xdr:row>517</xdr:row>
      <xdr:rowOff>19610</xdr:rowOff>
    </xdr:from>
    <xdr:to>
      <xdr:col>10</xdr:col>
      <xdr:colOff>0</xdr:colOff>
      <xdr:row>553</xdr:row>
      <xdr:rowOff>48185</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40" name="Group 39"/>
        <xdr:cNvGrpSpPr/>
      </xdr:nvGrpSpPr>
      <xdr:grpSpPr>
        <a:xfrm>
          <a:off x="40822" y="1367597"/>
          <a:ext cx="2535971" cy="642298"/>
          <a:chOff x="40822" y="1267641"/>
          <a:chExt cx="2570933" cy="630195"/>
        </a:xfrm>
      </xdr:grpSpPr>
      <xdr:pic>
        <xdr:nvPicPr>
          <xdr:cNvPr id="46" name="Picture 45">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3" name="Picture 52"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54" name="Group 53"/>
        <xdr:cNvGrpSpPr/>
      </xdr:nvGrpSpPr>
      <xdr:grpSpPr>
        <a:xfrm>
          <a:off x="40822" y="11058445"/>
          <a:ext cx="2535971" cy="642297"/>
          <a:chOff x="40822" y="1267641"/>
          <a:chExt cx="2570933" cy="630195"/>
        </a:xfrm>
      </xdr:grpSpPr>
      <xdr:pic>
        <xdr:nvPicPr>
          <xdr:cNvPr id="55" name="Picture 54">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6" name="Picture 55"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116</xdr:row>
      <xdr:rowOff>40821</xdr:rowOff>
    </xdr:from>
    <xdr:to>
      <xdr:col>4</xdr:col>
      <xdr:colOff>66675</xdr:colOff>
      <xdr:row>119</xdr:row>
      <xdr:rowOff>145236</xdr:rowOff>
    </xdr:to>
    <xdr:grpSp>
      <xdr:nvGrpSpPr>
        <xdr:cNvPr id="57" name="Group 56"/>
        <xdr:cNvGrpSpPr/>
      </xdr:nvGrpSpPr>
      <xdr:grpSpPr>
        <a:xfrm>
          <a:off x="40822" y="21125809"/>
          <a:ext cx="2535971" cy="642298"/>
          <a:chOff x="40822" y="1267641"/>
          <a:chExt cx="2570933" cy="630195"/>
        </a:xfrm>
      </xdr:grpSpPr>
      <xdr:pic>
        <xdr:nvPicPr>
          <xdr:cNvPr id="58" name="Picture 57">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9" name="Picture 58"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172</xdr:row>
      <xdr:rowOff>40821</xdr:rowOff>
    </xdr:from>
    <xdr:to>
      <xdr:col>4</xdr:col>
      <xdr:colOff>66675</xdr:colOff>
      <xdr:row>175</xdr:row>
      <xdr:rowOff>145236</xdr:rowOff>
    </xdr:to>
    <xdr:grpSp>
      <xdr:nvGrpSpPr>
        <xdr:cNvPr id="60" name="Group 59"/>
        <xdr:cNvGrpSpPr/>
      </xdr:nvGrpSpPr>
      <xdr:grpSpPr>
        <a:xfrm>
          <a:off x="40822" y="31202139"/>
          <a:ext cx="2535971" cy="642297"/>
          <a:chOff x="40822" y="1267641"/>
          <a:chExt cx="2570933" cy="630195"/>
        </a:xfrm>
      </xdr:grpSpPr>
      <xdr:pic>
        <xdr:nvPicPr>
          <xdr:cNvPr id="65" name="Picture 64">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6" name="Picture 65"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228</xdr:row>
      <xdr:rowOff>40821</xdr:rowOff>
    </xdr:from>
    <xdr:to>
      <xdr:col>4</xdr:col>
      <xdr:colOff>66675</xdr:colOff>
      <xdr:row>231</xdr:row>
      <xdr:rowOff>145236</xdr:rowOff>
    </xdr:to>
    <xdr:grpSp>
      <xdr:nvGrpSpPr>
        <xdr:cNvPr id="67" name="Group 66"/>
        <xdr:cNvGrpSpPr/>
      </xdr:nvGrpSpPr>
      <xdr:grpSpPr>
        <a:xfrm>
          <a:off x="40822" y="41251574"/>
          <a:ext cx="2535971" cy="642297"/>
          <a:chOff x="40822" y="1267641"/>
          <a:chExt cx="2570933" cy="630195"/>
        </a:xfrm>
      </xdr:grpSpPr>
      <xdr:pic>
        <xdr:nvPicPr>
          <xdr:cNvPr id="68" name="Picture 67">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9" name="Picture 68"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284</xdr:row>
      <xdr:rowOff>40821</xdr:rowOff>
    </xdr:from>
    <xdr:to>
      <xdr:col>4</xdr:col>
      <xdr:colOff>66675</xdr:colOff>
      <xdr:row>287</xdr:row>
      <xdr:rowOff>145236</xdr:rowOff>
    </xdr:to>
    <xdr:grpSp>
      <xdr:nvGrpSpPr>
        <xdr:cNvPr id="70" name="Group 69"/>
        <xdr:cNvGrpSpPr/>
      </xdr:nvGrpSpPr>
      <xdr:grpSpPr>
        <a:xfrm>
          <a:off x="40822" y="51309974"/>
          <a:ext cx="2535971" cy="642297"/>
          <a:chOff x="40822" y="1267641"/>
          <a:chExt cx="2570933" cy="630195"/>
        </a:xfrm>
      </xdr:grpSpPr>
      <xdr:pic>
        <xdr:nvPicPr>
          <xdr:cNvPr id="71" name="Picture 70">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 name="Picture 71"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340</xdr:row>
      <xdr:rowOff>40821</xdr:rowOff>
    </xdr:from>
    <xdr:to>
      <xdr:col>4</xdr:col>
      <xdr:colOff>66675</xdr:colOff>
      <xdr:row>343</xdr:row>
      <xdr:rowOff>145236</xdr:rowOff>
    </xdr:to>
    <xdr:grpSp>
      <xdr:nvGrpSpPr>
        <xdr:cNvPr id="73" name="Group 72"/>
        <xdr:cNvGrpSpPr/>
      </xdr:nvGrpSpPr>
      <xdr:grpSpPr>
        <a:xfrm>
          <a:off x="40822" y="61350445"/>
          <a:ext cx="2535971" cy="642297"/>
          <a:chOff x="40822" y="1267641"/>
          <a:chExt cx="2570933" cy="630195"/>
        </a:xfrm>
      </xdr:grpSpPr>
      <xdr:pic>
        <xdr:nvPicPr>
          <xdr:cNvPr id="74" name="Picture 73">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5" name="Picture 74"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396</xdr:row>
      <xdr:rowOff>40821</xdr:rowOff>
    </xdr:from>
    <xdr:to>
      <xdr:col>4</xdr:col>
      <xdr:colOff>66675</xdr:colOff>
      <xdr:row>399</xdr:row>
      <xdr:rowOff>145236</xdr:rowOff>
    </xdr:to>
    <xdr:grpSp>
      <xdr:nvGrpSpPr>
        <xdr:cNvPr id="76" name="Group 75"/>
        <xdr:cNvGrpSpPr/>
      </xdr:nvGrpSpPr>
      <xdr:grpSpPr>
        <a:xfrm>
          <a:off x="40822" y="71408845"/>
          <a:ext cx="2535971" cy="642297"/>
          <a:chOff x="40822" y="1267641"/>
          <a:chExt cx="2570933" cy="630195"/>
        </a:xfrm>
      </xdr:grpSpPr>
      <xdr:pic>
        <xdr:nvPicPr>
          <xdr:cNvPr id="77" name="Picture 76">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8" name="Picture 77"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452</xdr:row>
      <xdr:rowOff>40821</xdr:rowOff>
    </xdr:from>
    <xdr:to>
      <xdr:col>4</xdr:col>
      <xdr:colOff>66675</xdr:colOff>
      <xdr:row>455</xdr:row>
      <xdr:rowOff>145236</xdr:rowOff>
    </xdr:to>
    <xdr:grpSp>
      <xdr:nvGrpSpPr>
        <xdr:cNvPr id="79" name="Group 78"/>
        <xdr:cNvGrpSpPr/>
      </xdr:nvGrpSpPr>
      <xdr:grpSpPr>
        <a:xfrm>
          <a:off x="40822" y="81449315"/>
          <a:ext cx="2535971" cy="642297"/>
          <a:chOff x="40822" y="1267641"/>
          <a:chExt cx="2570933" cy="630195"/>
        </a:xfrm>
      </xdr:grpSpPr>
      <xdr:pic>
        <xdr:nvPicPr>
          <xdr:cNvPr id="80" name="Picture 79">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1" name="Picture 80"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508</xdr:row>
      <xdr:rowOff>40821</xdr:rowOff>
    </xdr:from>
    <xdr:to>
      <xdr:col>4</xdr:col>
      <xdr:colOff>66675</xdr:colOff>
      <xdr:row>511</xdr:row>
      <xdr:rowOff>145236</xdr:rowOff>
    </xdr:to>
    <xdr:grpSp>
      <xdr:nvGrpSpPr>
        <xdr:cNvPr id="82" name="Group 81"/>
        <xdr:cNvGrpSpPr/>
      </xdr:nvGrpSpPr>
      <xdr:grpSpPr>
        <a:xfrm>
          <a:off x="40822" y="91507715"/>
          <a:ext cx="2535971" cy="642297"/>
          <a:chOff x="40822" y="1267641"/>
          <a:chExt cx="2570933" cy="630195"/>
        </a:xfrm>
      </xdr:grpSpPr>
      <xdr:pic>
        <xdr:nvPicPr>
          <xdr:cNvPr id="83" name="Picture 82">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4" name="Picture 83"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104775</xdr:colOff>
      <xdr:row>247</xdr:row>
      <xdr:rowOff>38100</xdr:rowOff>
    </xdr:from>
    <xdr:ext cx="4231821" cy="3042557"/>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619375" y="40033575"/>
          <a:ext cx="4231821" cy="3042557"/>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xl-viking.com/" TargetMode="External"/><Relationship Id="rId13" Type="http://schemas.openxmlformats.org/officeDocument/2006/relationships/hyperlink" Target="http://www.abbottaerospace.com/wpdm-package/mil-hdbk-5h" TargetMode="External"/><Relationship Id="rId18" Type="http://schemas.openxmlformats.org/officeDocument/2006/relationships/hyperlink" Target="http://www.abbottaerospace.com/wpdm-package/mil-hdbk-5h" TargetMode="External"/><Relationship Id="rId26" Type="http://schemas.openxmlformats.org/officeDocument/2006/relationships/hyperlink" Target="http://www.abbottaerospace.com/wpdm-package/affdl-tr-69-42" TargetMode="External"/><Relationship Id="rId3" Type="http://schemas.openxmlformats.org/officeDocument/2006/relationships/hyperlink" Target="http://www.xl-viking.com/" TargetMode="External"/><Relationship Id="rId21"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hyperlink" Target="http://www.xl-viking.com/" TargetMode="External"/><Relationship Id="rId12" Type="http://schemas.openxmlformats.org/officeDocument/2006/relationships/hyperlink" Target="http://www.abbottaerospace.com/wpdm-package/mil-hdbk-5h" TargetMode="External"/><Relationship Id="rId17" Type="http://schemas.openxmlformats.org/officeDocument/2006/relationships/hyperlink" Target="http://www.abbottaerospace.com/wpdm-package/mil-hdbk-5h" TargetMode="External"/><Relationship Id="rId25" Type="http://schemas.openxmlformats.org/officeDocument/2006/relationships/hyperlink" Target="http://www.abbottaerospace.com/wpdm-package/affdl-tr-69-42" TargetMode="External"/><Relationship Id="rId2" Type="http://schemas.openxmlformats.org/officeDocument/2006/relationships/hyperlink" Target="http://www.xl-viking.com/" TargetMode="External"/><Relationship Id="rId16" Type="http://schemas.openxmlformats.org/officeDocument/2006/relationships/hyperlink" Target="http://www.abbottaerospace.com/wpdm-package/mil-hdbk-5h" TargetMode="External"/><Relationship Id="rId20" Type="http://schemas.openxmlformats.org/officeDocument/2006/relationships/hyperlink" Target="http://www.abbottaerospace.com/wpdm-package/mil-hdbk-5h" TargetMode="External"/><Relationship Id="rId29" Type="http://schemas.openxmlformats.org/officeDocument/2006/relationships/drawing" Target="../drawings/drawing2.xml"/><Relationship Id="rId1" Type="http://schemas.openxmlformats.org/officeDocument/2006/relationships/hyperlink" Target="http://www.xl-viking.com/" TargetMode="External"/><Relationship Id="rId6" Type="http://schemas.openxmlformats.org/officeDocument/2006/relationships/hyperlink" Target="http://www.xl-viking.com/" TargetMode="External"/><Relationship Id="rId11" Type="http://schemas.openxmlformats.org/officeDocument/2006/relationships/hyperlink" Target="http://www.abbottaerospace.com/wpdm-package/mil-hdbk-5h" TargetMode="External"/><Relationship Id="rId24" Type="http://schemas.openxmlformats.org/officeDocument/2006/relationships/hyperlink" Target="http://www.abbottaerospace.com/wpdm-package/naca-tn-3781-handbook-of-structural-stability-part-i-buckling-of-flat-plates" TargetMode="External"/><Relationship Id="rId5" Type="http://schemas.openxmlformats.org/officeDocument/2006/relationships/hyperlink" Target="http://www.xl-viking.com/" TargetMode="External"/><Relationship Id="rId15" Type="http://schemas.openxmlformats.org/officeDocument/2006/relationships/hyperlink" Target="http://www.abbottaerospace.com/wpdm-package/mil-hdbk-5h" TargetMode="External"/><Relationship Id="rId23" Type="http://schemas.openxmlformats.org/officeDocument/2006/relationships/hyperlink" Target="http://www.abbottaerospace.com/wpdm-package/naca-tn-3781-handbook-of-structural-stability-part-i-buckling-of-flat-plates" TargetMode="External"/><Relationship Id="rId28" Type="http://schemas.openxmlformats.org/officeDocument/2006/relationships/printerSettings" Target="../printerSettings/printerSettings2.bin"/><Relationship Id="rId10" Type="http://schemas.openxmlformats.org/officeDocument/2006/relationships/hyperlink" Target="http://www.xl-viking.com/" TargetMode="External"/><Relationship Id="rId19" Type="http://schemas.openxmlformats.org/officeDocument/2006/relationships/hyperlink" Target="http://www.abbottaerospace.com/wpdm-package/mil-hdbk-5h" TargetMode="External"/><Relationship Id="rId31" Type="http://schemas.openxmlformats.org/officeDocument/2006/relationships/comments" Target="../comments1.xml"/><Relationship Id="rId4" Type="http://schemas.openxmlformats.org/officeDocument/2006/relationships/hyperlink" Target="http://www.xl-viking.com/" TargetMode="External"/><Relationship Id="rId9" Type="http://schemas.openxmlformats.org/officeDocument/2006/relationships/hyperlink" Target="http://www.xl-viking.com/" TargetMode="External"/><Relationship Id="rId14" Type="http://schemas.openxmlformats.org/officeDocument/2006/relationships/hyperlink" Target="http://www.abbottaerospace.com/wpdm-package/mil-hdbk-5h" TargetMode="External"/><Relationship Id="rId22" Type="http://schemas.openxmlformats.org/officeDocument/2006/relationships/hyperlink" Target="http://www.abbottaerospace.com/wpdm-package/naca-tn-3781-handbook-of-structural-stability-part-i-buckling-of-flat-plates" TargetMode="External"/><Relationship Id="rId27" Type="http://schemas.openxmlformats.org/officeDocument/2006/relationships/hyperlink" Target="http://www.abbottaerospace.com/wpdm-package/analysis-and-design-of-composite-and-metallic-flight-vehicle-structures" TargetMode="External"/><Relationship Id="rId30"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3"/>
  <sheetViews>
    <sheetView view="pageBreakPreview" topLeftCell="A52" zoomScaleNormal="100" zoomScaleSheetLayoutView="100" workbookViewId="0">
      <selection activeCell="K56" sqref="K56"/>
    </sheetView>
  </sheetViews>
  <sheetFormatPr defaultColWidth="9.109375" defaultRowHeight="15.6"/>
  <cols>
    <col min="1" max="2" width="9.109375" style="152"/>
    <col min="3" max="3" width="10.6640625" style="152" bestFit="1" customWidth="1"/>
    <col min="4" max="11" width="9.109375" style="152"/>
    <col min="12" max="12" width="5.44140625" style="141" customWidth="1"/>
    <col min="13" max="17" width="5.33203125" style="199" customWidth="1"/>
    <col min="18" max="19" width="5.33203125" style="200" customWidth="1"/>
    <col min="20" max="25" width="9.109375" style="202"/>
    <col min="26" max="16384" width="9.109375" style="152"/>
  </cols>
  <sheetData>
    <row r="1" spans="1:25" s="141" customFormat="1" ht="13.8">
      <c r="A1" s="137"/>
      <c r="B1" s="138" t="s">
        <v>47</v>
      </c>
      <c r="C1" s="139" t="s">
        <v>44</v>
      </c>
      <c r="D1" s="137"/>
      <c r="E1" s="137"/>
      <c r="F1" s="138" t="s">
        <v>129</v>
      </c>
      <c r="G1" s="140"/>
      <c r="H1" s="137"/>
      <c r="I1" s="137"/>
      <c r="J1" s="137"/>
      <c r="K1" s="137"/>
      <c r="M1" s="195"/>
      <c r="N1" s="195"/>
      <c r="O1" s="195"/>
      <c r="P1" s="195"/>
      <c r="Q1" s="195"/>
      <c r="R1" s="195"/>
      <c r="S1" s="195"/>
      <c r="T1" s="196"/>
      <c r="U1" s="196"/>
      <c r="V1" s="196"/>
      <c r="W1" s="197"/>
      <c r="X1" s="198"/>
      <c r="Y1" s="196"/>
    </row>
    <row r="2" spans="1:25" s="141" customFormat="1" ht="13.8">
      <c r="A2" s="137"/>
      <c r="B2" s="138" t="s">
        <v>49</v>
      </c>
      <c r="C2" s="139" t="s">
        <v>29</v>
      </c>
      <c r="D2" s="137"/>
      <c r="E2" s="137"/>
      <c r="F2" s="138" t="s">
        <v>50</v>
      </c>
      <c r="G2" s="139"/>
      <c r="H2" s="137"/>
      <c r="I2" s="137"/>
      <c r="J2" s="137"/>
      <c r="K2" s="137"/>
      <c r="M2" s="195"/>
      <c r="N2" s="195"/>
      <c r="O2" s="195"/>
      <c r="P2" s="195"/>
      <c r="Q2" s="195"/>
      <c r="R2" s="195"/>
      <c r="S2" s="195"/>
      <c r="T2" s="196"/>
      <c r="U2" s="196"/>
      <c r="V2" s="196"/>
      <c r="W2" s="197"/>
      <c r="X2" s="198"/>
      <c r="Y2" s="196"/>
    </row>
    <row r="3" spans="1:25" s="141" customFormat="1" ht="13.8">
      <c r="A3" s="137"/>
      <c r="B3" s="138" t="s">
        <v>0</v>
      </c>
      <c r="C3" s="144"/>
      <c r="D3" s="137"/>
      <c r="E3" s="137"/>
      <c r="F3" s="138" t="s">
        <v>45</v>
      </c>
      <c r="G3" s="139"/>
      <c r="H3" s="137"/>
      <c r="I3" s="137"/>
      <c r="J3" s="137"/>
      <c r="K3" s="137"/>
      <c r="M3" s="195"/>
      <c r="N3" s="195"/>
      <c r="O3" s="195"/>
      <c r="P3" s="195"/>
      <c r="Q3" s="195"/>
      <c r="R3" s="195"/>
      <c r="S3" s="195"/>
      <c r="T3" s="196"/>
      <c r="U3" s="196"/>
      <c r="V3" s="196"/>
      <c r="W3" s="197"/>
      <c r="X3" s="198"/>
      <c r="Y3" s="196"/>
    </row>
    <row r="4" spans="1:25" s="141" customFormat="1" ht="13.8">
      <c r="A4" s="137"/>
      <c r="B4" s="138" t="s">
        <v>130</v>
      </c>
      <c r="C4" s="140"/>
      <c r="D4" s="137"/>
      <c r="E4" s="137"/>
      <c r="F4" s="138" t="s">
        <v>131</v>
      </c>
      <c r="G4" s="139" t="s">
        <v>132</v>
      </c>
      <c r="H4" s="137"/>
      <c r="I4" s="137"/>
      <c r="J4" s="137"/>
      <c r="K4" s="137"/>
      <c r="M4" s="195"/>
      <c r="N4" s="195"/>
      <c r="O4" s="195"/>
      <c r="P4" s="195"/>
      <c r="Q4" s="199"/>
      <c r="R4" s="200"/>
      <c r="S4" s="200"/>
      <c r="T4" s="196"/>
      <c r="U4" s="196"/>
      <c r="V4" s="196"/>
      <c r="W4" s="197"/>
      <c r="X4" s="198"/>
      <c r="Y4" s="196"/>
    </row>
    <row r="5" spans="1:25" s="141" customFormat="1" ht="13.8">
      <c r="A5" s="137"/>
      <c r="B5" s="138" t="s">
        <v>133</v>
      </c>
      <c r="C5" s="140"/>
      <c r="D5" s="137"/>
      <c r="E5" s="138"/>
      <c r="F5" s="137"/>
      <c r="G5" s="137"/>
      <c r="H5" s="137"/>
      <c r="I5" s="137"/>
      <c r="J5" s="137"/>
      <c r="K5" s="137"/>
      <c r="M5" s="195"/>
      <c r="N5" s="195"/>
      <c r="O5" s="195"/>
      <c r="P5" s="195"/>
      <c r="Q5" s="199"/>
      <c r="R5" s="200"/>
      <c r="S5" s="200"/>
      <c r="T5" s="196"/>
      <c r="U5" s="196"/>
      <c r="V5" s="196"/>
      <c r="W5" s="197"/>
      <c r="X5" s="198"/>
      <c r="Y5" s="196"/>
    </row>
    <row r="6" spans="1:25" s="141" customFormat="1" ht="13.8">
      <c r="A6" s="137"/>
      <c r="B6" s="137" t="s">
        <v>51</v>
      </c>
      <c r="C6" s="145"/>
      <c r="D6" s="137"/>
      <c r="E6" s="137"/>
      <c r="F6" s="137"/>
      <c r="G6" s="137"/>
      <c r="H6" s="137"/>
      <c r="I6" s="137"/>
      <c r="J6" s="137"/>
      <c r="K6" s="137"/>
      <c r="M6" s="195"/>
      <c r="N6" s="195"/>
      <c r="O6" s="195"/>
      <c r="P6" s="195"/>
      <c r="Q6" s="199"/>
      <c r="R6" s="200"/>
      <c r="S6" s="200"/>
      <c r="T6" s="196"/>
      <c r="U6" s="196"/>
      <c r="V6" s="196"/>
      <c r="W6" s="197"/>
      <c r="X6" s="198"/>
      <c r="Y6" s="196"/>
    </row>
    <row r="7" spans="1:25" s="141" customFormat="1" ht="13.8">
      <c r="A7" s="137"/>
      <c r="B7" s="137"/>
      <c r="C7" s="137"/>
      <c r="D7" s="137"/>
      <c r="E7" s="137"/>
      <c r="F7" s="137"/>
      <c r="G7" s="137"/>
      <c r="H7" s="137"/>
      <c r="I7" s="137"/>
      <c r="J7" s="137"/>
      <c r="K7" s="137"/>
      <c r="M7" s="195"/>
      <c r="N7" s="195"/>
      <c r="O7" s="195"/>
      <c r="P7" s="195"/>
      <c r="Q7" s="199"/>
      <c r="R7" s="200"/>
      <c r="S7" s="200"/>
      <c r="T7" s="196"/>
      <c r="U7" s="196"/>
      <c r="V7" s="196"/>
      <c r="W7" s="197"/>
      <c r="X7" s="198"/>
      <c r="Y7" s="196"/>
    </row>
    <row r="8" spans="1:25" s="141" customFormat="1" ht="13.8">
      <c r="A8" s="146"/>
      <c r="E8" s="142"/>
      <c r="F8" s="143"/>
      <c r="H8" s="147"/>
      <c r="I8" s="142"/>
      <c r="J8" s="148"/>
      <c r="K8" s="149"/>
      <c r="L8" s="150"/>
      <c r="M8" s="195"/>
      <c r="N8" s="195"/>
      <c r="O8" s="195"/>
      <c r="P8" s="195"/>
      <c r="Q8" s="199"/>
      <c r="R8" s="200"/>
      <c r="S8" s="200"/>
      <c r="T8" s="196"/>
      <c r="U8" s="196"/>
      <c r="V8" s="196"/>
      <c r="W8" s="196"/>
      <c r="X8" s="196"/>
      <c r="Y8" s="196"/>
    </row>
    <row r="9" spans="1:25" s="141" customFormat="1" ht="13.8">
      <c r="E9" s="142"/>
      <c r="F9" s="147"/>
      <c r="H9" s="147"/>
      <c r="I9" s="142"/>
      <c r="J9" s="149"/>
      <c r="K9" s="149"/>
      <c r="L9" s="150"/>
      <c r="M9" s="195"/>
      <c r="N9" s="195"/>
      <c r="O9" s="195"/>
      <c r="P9" s="195"/>
      <c r="Q9" s="199"/>
      <c r="R9" s="200"/>
      <c r="S9" s="200"/>
      <c r="T9" s="196"/>
      <c r="U9" s="196"/>
      <c r="V9" s="196"/>
      <c r="W9" s="196"/>
      <c r="X9" s="196"/>
      <c r="Y9" s="196"/>
    </row>
    <row r="10" spans="1:25" s="141" customFormat="1" ht="13.8">
      <c r="E10" s="142"/>
      <c r="F10" s="147"/>
      <c r="H10" s="147"/>
      <c r="I10" s="142"/>
      <c r="J10" s="143"/>
      <c r="K10" s="147"/>
      <c r="L10" s="150"/>
      <c r="M10" s="195"/>
      <c r="N10" s="195"/>
      <c r="O10" s="195"/>
      <c r="P10" s="195"/>
      <c r="Q10" s="199"/>
      <c r="R10" s="200"/>
      <c r="S10" s="200"/>
      <c r="T10" s="196"/>
      <c r="U10" s="196"/>
      <c r="V10" s="196"/>
      <c r="W10" s="196"/>
      <c r="X10" s="196"/>
      <c r="Y10" s="196"/>
    </row>
    <row r="11" spans="1:25" s="141" customFormat="1" ht="13.8">
      <c r="E11" s="142"/>
      <c r="F11" s="147"/>
      <c r="I11" s="151"/>
      <c r="J11" s="143"/>
      <c r="M11" s="195"/>
      <c r="N11" s="195"/>
      <c r="O11" s="195"/>
      <c r="P11" s="195"/>
      <c r="Q11" s="195"/>
      <c r="R11" s="195"/>
      <c r="S11" s="195"/>
      <c r="T11" s="196"/>
      <c r="U11" s="196"/>
      <c r="V11" s="196"/>
      <c r="W11" s="196"/>
      <c r="X11" s="196"/>
      <c r="Y11" s="196"/>
    </row>
    <row r="12" spans="1:25">
      <c r="C12" s="153" t="str">
        <f>G4</f>
        <v>IMPORTANT INFORMATION</v>
      </c>
      <c r="M12" s="195"/>
      <c r="N12" s="195"/>
      <c r="O12" s="195"/>
      <c r="P12" s="195"/>
      <c r="Q12" s="201"/>
      <c r="R12" s="201"/>
      <c r="S12" s="201"/>
    </row>
    <row r="13" spans="1:25" s="141" customFormat="1" ht="13.8">
      <c r="M13" s="195"/>
      <c r="N13" s="195"/>
      <c r="O13" s="195"/>
      <c r="P13" s="195"/>
      <c r="Q13" s="195"/>
      <c r="R13" s="195"/>
      <c r="S13" s="195"/>
      <c r="T13" s="196"/>
      <c r="U13" s="196"/>
      <c r="V13" s="196"/>
      <c r="W13" s="196"/>
      <c r="X13" s="196"/>
      <c r="Y13" s="196"/>
    </row>
    <row r="14" spans="1:25" s="141" customFormat="1" ht="13.8">
      <c r="B14" s="154" t="s">
        <v>134</v>
      </c>
      <c r="M14" s="195"/>
      <c r="N14" s="195"/>
      <c r="O14" s="195"/>
      <c r="P14" s="195"/>
      <c r="Q14" s="195"/>
      <c r="R14" s="195"/>
      <c r="S14" s="195"/>
      <c r="T14" s="196"/>
      <c r="U14" s="196"/>
      <c r="V14" s="196"/>
      <c r="W14" s="196"/>
      <c r="X14" s="196"/>
      <c r="Y14" s="196"/>
    </row>
    <row r="15" spans="1:25" s="141" customFormat="1" ht="13.8">
      <c r="A15" s="155"/>
      <c r="K15" s="155"/>
      <c r="M15" s="199"/>
      <c r="N15" s="199"/>
      <c r="O15" s="199"/>
      <c r="P15" s="199"/>
      <c r="Q15" s="199"/>
      <c r="R15" s="200"/>
      <c r="S15" s="200"/>
      <c r="T15" s="196"/>
      <c r="U15" s="196"/>
      <c r="V15" s="196"/>
      <c r="W15" s="196"/>
      <c r="X15" s="196"/>
      <c r="Y15" s="196"/>
    </row>
    <row r="16" spans="1:25" s="141" customFormat="1" ht="12.75" customHeight="1">
      <c r="B16" s="217" t="s">
        <v>279</v>
      </c>
      <c r="C16" s="217"/>
      <c r="D16" s="217"/>
      <c r="E16" s="217"/>
      <c r="F16" s="217"/>
      <c r="G16" s="217"/>
      <c r="H16" s="217"/>
      <c r="I16" s="217"/>
      <c r="J16" s="217"/>
      <c r="M16" s="199"/>
      <c r="N16" s="199"/>
      <c r="O16" s="199"/>
      <c r="P16" s="199"/>
      <c r="Q16" s="199"/>
      <c r="R16" s="200"/>
      <c r="S16" s="200"/>
      <c r="T16" s="196"/>
      <c r="U16" s="196"/>
      <c r="V16" s="196"/>
      <c r="W16" s="196"/>
      <c r="X16" s="196"/>
      <c r="Y16" s="196"/>
    </row>
    <row r="17" spans="1:25" s="141" customFormat="1" ht="13.8">
      <c r="B17" s="217"/>
      <c r="C17" s="217"/>
      <c r="D17" s="217"/>
      <c r="E17" s="217"/>
      <c r="F17" s="217"/>
      <c r="G17" s="217"/>
      <c r="H17" s="217"/>
      <c r="I17" s="217"/>
      <c r="J17" s="217"/>
      <c r="M17" s="199"/>
      <c r="N17" s="199"/>
      <c r="O17" s="199"/>
      <c r="P17" s="199"/>
      <c r="Q17" s="199"/>
      <c r="R17" s="200"/>
      <c r="S17" s="200"/>
      <c r="T17" s="196"/>
      <c r="U17" s="196"/>
      <c r="V17" s="196"/>
      <c r="W17" s="196"/>
      <c r="X17" s="196"/>
      <c r="Y17" s="196"/>
    </row>
    <row r="18" spans="1:25" s="141" customFormat="1" ht="13.8">
      <c r="B18" s="217"/>
      <c r="C18" s="217"/>
      <c r="D18" s="217"/>
      <c r="E18" s="217"/>
      <c r="F18" s="217"/>
      <c r="G18" s="217"/>
      <c r="H18" s="217"/>
      <c r="I18" s="217"/>
      <c r="J18" s="217"/>
      <c r="M18" s="199"/>
      <c r="N18" s="199"/>
      <c r="O18" s="199"/>
      <c r="P18" s="199"/>
      <c r="Q18" s="199"/>
      <c r="R18" s="200"/>
      <c r="S18" s="200"/>
      <c r="T18" s="196"/>
      <c r="U18" s="196"/>
      <c r="V18" s="196"/>
      <c r="W18" s="196"/>
      <c r="X18" s="196"/>
      <c r="Y18" s="196"/>
    </row>
    <row r="19" spans="1:25" s="141" customFormat="1" ht="13.8">
      <c r="B19" s="217"/>
      <c r="C19" s="217"/>
      <c r="D19" s="217"/>
      <c r="E19" s="217"/>
      <c r="F19" s="217"/>
      <c r="G19" s="217"/>
      <c r="H19" s="217"/>
      <c r="I19" s="217"/>
      <c r="J19" s="217"/>
      <c r="M19" s="199"/>
      <c r="N19" s="199"/>
      <c r="O19" s="199"/>
      <c r="P19" s="199"/>
      <c r="Q19" s="199"/>
      <c r="R19" s="200"/>
      <c r="S19" s="200"/>
      <c r="T19" s="196"/>
      <c r="U19" s="196"/>
      <c r="V19" s="196"/>
      <c r="W19" s="196"/>
      <c r="X19" s="196"/>
      <c r="Y19" s="196"/>
    </row>
    <row r="20" spans="1:25" s="141" customFormat="1" ht="12.75" customHeight="1">
      <c r="A20" s="155"/>
      <c r="B20" s="156" t="s">
        <v>280</v>
      </c>
      <c r="C20" s="155"/>
      <c r="D20" s="155"/>
      <c r="E20" s="155"/>
      <c r="F20" s="155"/>
      <c r="G20" s="155"/>
      <c r="H20" s="155"/>
      <c r="I20" s="155"/>
      <c r="J20" s="155"/>
      <c r="K20" s="155"/>
      <c r="M20" s="199"/>
      <c r="N20" s="199"/>
      <c r="O20" s="199"/>
      <c r="P20" s="199"/>
      <c r="Q20" s="199"/>
      <c r="R20" s="200"/>
      <c r="S20" s="200"/>
      <c r="T20" s="196"/>
      <c r="U20" s="196"/>
      <c r="V20" s="196"/>
      <c r="W20" s="196"/>
      <c r="X20" s="196"/>
      <c r="Y20" s="196"/>
    </row>
    <row r="21" spans="1:25" s="141" customFormat="1" ht="13.8">
      <c r="A21" s="155"/>
      <c r="B21" s="156"/>
      <c r="C21" s="155"/>
      <c r="D21" s="155"/>
      <c r="E21" s="155"/>
      <c r="F21" s="155"/>
      <c r="G21" s="155"/>
      <c r="H21" s="155"/>
      <c r="I21" s="155"/>
      <c r="J21" s="155"/>
      <c r="K21" s="155"/>
      <c r="M21" s="199"/>
      <c r="N21" s="199"/>
      <c r="O21" s="199"/>
      <c r="P21" s="199"/>
      <c r="Q21" s="199"/>
      <c r="R21" s="200"/>
      <c r="S21" s="200"/>
      <c r="T21" s="196"/>
      <c r="U21" s="196"/>
      <c r="V21" s="196"/>
      <c r="W21" s="196"/>
      <c r="X21" s="196"/>
      <c r="Y21" s="196"/>
    </row>
    <row r="22" spans="1:25" s="141" customFormat="1" ht="12.75" customHeight="1">
      <c r="A22" s="155"/>
      <c r="B22" s="217" t="s">
        <v>281</v>
      </c>
      <c r="C22" s="217"/>
      <c r="D22" s="217"/>
      <c r="E22" s="217"/>
      <c r="F22" s="217"/>
      <c r="G22" s="217"/>
      <c r="H22" s="217"/>
      <c r="I22" s="217"/>
      <c r="J22" s="217"/>
      <c r="K22" s="155"/>
      <c r="M22" s="199"/>
      <c r="N22" s="199"/>
      <c r="O22" s="199"/>
      <c r="P22" s="199"/>
      <c r="Q22" s="199"/>
      <c r="R22" s="200"/>
      <c r="S22" s="200"/>
      <c r="T22" s="196"/>
      <c r="U22" s="196"/>
      <c r="V22" s="196"/>
      <c r="W22" s="196"/>
      <c r="X22" s="196"/>
      <c r="Y22" s="196"/>
    </row>
    <row r="23" spans="1:25" s="141" customFormat="1" ht="13.8">
      <c r="A23" s="155"/>
      <c r="B23" s="217"/>
      <c r="C23" s="217"/>
      <c r="D23" s="217"/>
      <c r="E23" s="217"/>
      <c r="F23" s="217"/>
      <c r="G23" s="217"/>
      <c r="H23" s="217"/>
      <c r="I23" s="217"/>
      <c r="J23" s="217"/>
      <c r="K23" s="155"/>
      <c r="M23" s="199"/>
      <c r="N23" s="199"/>
      <c r="O23" s="199"/>
      <c r="P23" s="199"/>
      <c r="Q23" s="199"/>
      <c r="R23" s="200"/>
      <c r="S23" s="203"/>
      <c r="T23" s="196"/>
      <c r="U23" s="196"/>
      <c r="V23" s="196"/>
      <c r="W23" s="196"/>
      <c r="X23" s="196"/>
      <c r="Y23" s="196"/>
    </row>
    <row r="24" spans="1:25" s="141" customFormat="1" ht="13.8">
      <c r="A24" s="155"/>
      <c r="B24" s="217"/>
      <c r="C24" s="217"/>
      <c r="D24" s="217"/>
      <c r="E24" s="217"/>
      <c r="F24" s="217"/>
      <c r="G24" s="217"/>
      <c r="H24" s="217"/>
      <c r="I24" s="217"/>
      <c r="J24" s="217"/>
      <c r="K24" s="155"/>
      <c r="M24" s="199"/>
      <c r="N24" s="199"/>
      <c r="O24" s="199"/>
      <c r="P24" s="199"/>
      <c r="Q24" s="199"/>
      <c r="R24" s="200"/>
      <c r="S24" s="203"/>
      <c r="T24" s="196"/>
      <c r="U24" s="196"/>
      <c r="V24" s="196"/>
      <c r="W24" s="196"/>
      <c r="X24" s="196"/>
      <c r="Y24" s="196"/>
    </row>
    <row r="25" spans="1:25" s="141" customFormat="1" ht="12.75" customHeight="1">
      <c r="A25" s="155"/>
      <c r="B25" s="209"/>
      <c r="C25" s="209"/>
      <c r="D25" s="209"/>
      <c r="E25" s="209"/>
      <c r="F25" s="210" t="s">
        <v>295</v>
      </c>
      <c r="G25" s="209"/>
      <c r="H25" s="209"/>
      <c r="I25" s="209"/>
      <c r="J25" s="209"/>
      <c r="K25" s="155"/>
      <c r="M25" s="199"/>
      <c r="N25" s="199"/>
      <c r="O25" s="199"/>
      <c r="P25" s="199"/>
      <c r="Q25" s="199"/>
      <c r="R25" s="200"/>
      <c r="S25" s="200"/>
      <c r="T25" s="196"/>
      <c r="U25" s="196"/>
      <c r="V25" s="196"/>
      <c r="W25" s="196"/>
      <c r="X25" s="196"/>
      <c r="Y25" s="196"/>
    </row>
    <row r="26" spans="1:25" s="141" customFormat="1" ht="12.75" customHeight="1">
      <c r="A26" s="155"/>
      <c r="B26" s="217" t="s">
        <v>282</v>
      </c>
      <c r="C26" s="217"/>
      <c r="D26" s="217"/>
      <c r="E26" s="217"/>
      <c r="F26" s="217"/>
      <c r="G26" s="217"/>
      <c r="H26" s="217"/>
      <c r="I26" s="217"/>
      <c r="J26" s="217"/>
      <c r="K26" s="155"/>
      <c r="M26" s="199"/>
      <c r="N26" s="199"/>
      <c r="O26" s="199"/>
      <c r="P26" s="199"/>
      <c r="Q26" s="199"/>
      <c r="R26" s="200"/>
      <c r="S26" s="200"/>
      <c r="T26" s="196"/>
      <c r="U26" s="196"/>
      <c r="V26" s="196"/>
      <c r="W26" s="196"/>
      <c r="X26" s="196"/>
      <c r="Y26" s="196"/>
    </row>
    <row r="27" spans="1:25" s="141" customFormat="1" ht="13.8">
      <c r="A27" s="155"/>
      <c r="B27" s="217"/>
      <c r="C27" s="217"/>
      <c r="D27" s="217"/>
      <c r="E27" s="217"/>
      <c r="F27" s="217"/>
      <c r="G27" s="217"/>
      <c r="H27" s="217"/>
      <c r="I27" s="217"/>
      <c r="J27" s="217"/>
      <c r="K27" s="155"/>
      <c r="M27" s="199"/>
      <c r="N27" s="199"/>
      <c r="O27" s="199"/>
      <c r="P27" s="199"/>
      <c r="Q27" s="199"/>
      <c r="R27" s="200"/>
      <c r="S27" s="200"/>
      <c r="T27" s="196"/>
      <c r="U27" s="196"/>
      <c r="V27" s="196"/>
      <c r="W27" s="196"/>
      <c r="X27" s="196"/>
      <c r="Y27" s="196"/>
    </row>
    <row r="28" spans="1:25" s="141" customFormat="1" ht="13.8">
      <c r="A28" s="155"/>
      <c r="B28" s="209"/>
      <c r="C28" s="209"/>
      <c r="D28" s="209"/>
      <c r="E28" s="209"/>
      <c r="F28" s="209"/>
      <c r="G28" s="209"/>
      <c r="H28" s="209"/>
      <c r="I28" s="209"/>
      <c r="J28" s="209"/>
      <c r="K28" s="155"/>
      <c r="M28" s="199"/>
      <c r="N28" s="199"/>
      <c r="O28" s="199"/>
      <c r="P28" s="199"/>
      <c r="Q28" s="199"/>
      <c r="R28" s="200"/>
      <c r="S28" s="200"/>
      <c r="T28" s="196"/>
      <c r="U28" s="196"/>
      <c r="V28" s="196"/>
      <c r="W28" s="196"/>
      <c r="X28" s="196"/>
      <c r="Y28" s="196"/>
    </row>
    <row r="29" spans="1:25" s="141" customFormat="1" ht="12.75" customHeight="1">
      <c r="A29" s="155"/>
      <c r="B29" s="217" t="s">
        <v>283</v>
      </c>
      <c r="C29" s="217"/>
      <c r="D29" s="217"/>
      <c r="E29" s="217"/>
      <c r="F29" s="217"/>
      <c r="G29" s="217"/>
      <c r="H29" s="217"/>
      <c r="I29" s="217"/>
      <c r="J29" s="217"/>
      <c r="K29" s="155"/>
      <c r="M29" s="199"/>
      <c r="N29" s="199"/>
      <c r="O29" s="199"/>
      <c r="P29" s="199"/>
      <c r="Q29" s="199"/>
      <c r="R29" s="200"/>
      <c r="S29" s="200"/>
      <c r="T29" s="196"/>
      <c r="U29" s="196"/>
      <c r="V29" s="196"/>
      <c r="W29" s="196"/>
      <c r="X29" s="196"/>
      <c r="Y29" s="196"/>
    </row>
    <row r="30" spans="1:25" s="141" customFormat="1" ht="12.75" customHeight="1">
      <c r="A30" s="155"/>
      <c r="B30" s="217"/>
      <c r="C30" s="217"/>
      <c r="D30" s="217"/>
      <c r="E30" s="217"/>
      <c r="F30" s="217"/>
      <c r="G30" s="217"/>
      <c r="H30" s="217"/>
      <c r="I30" s="217"/>
      <c r="J30" s="217"/>
      <c r="K30" s="155"/>
      <c r="M30" s="199"/>
      <c r="N30" s="199"/>
      <c r="O30" s="199"/>
      <c r="P30" s="199"/>
      <c r="Q30" s="199"/>
      <c r="R30" s="200"/>
      <c r="S30" s="200"/>
      <c r="T30" s="196"/>
      <c r="U30" s="196"/>
      <c r="V30" s="196"/>
      <c r="W30" s="196"/>
      <c r="X30" s="196"/>
      <c r="Y30" s="196"/>
    </row>
    <row r="31" spans="1:25" s="141" customFormat="1" ht="12.75" customHeight="1">
      <c r="A31" s="155"/>
      <c r="B31" s="217"/>
      <c r="C31" s="217"/>
      <c r="D31" s="217"/>
      <c r="E31" s="217"/>
      <c r="F31" s="217"/>
      <c r="G31" s="217"/>
      <c r="H31" s="217"/>
      <c r="I31" s="217"/>
      <c r="J31" s="217"/>
      <c r="K31" s="155"/>
      <c r="M31" s="199"/>
      <c r="N31" s="199"/>
      <c r="O31" s="199"/>
      <c r="P31" s="199"/>
      <c r="Q31" s="199"/>
      <c r="R31" s="200"/>
      <c r="S31" s="200"/>
      <c r="T31" s="196"/>
      <c r="U31" s="196"/>
      <c r="V31" s="196"/>
      <c r="W31" s="196"/>
      <c r="X31" s="196"/>
      <c r="Y31" s="196"/>
    </row>
    <row r="32" spans="1:25" s="141" customFormat="1" ht="12.75" customHeight="1">
      <c r="A32" s="155"/>
      <c r="B32" s="217"/>
      <c r="C32" s="217"/>
      <c r="D32" s="217"/>
      <c r="E32" s="217"/>
      <c r="F32" s="217"/>
      <c r="G32" s="217"/>
      <c r="H32" s="217"/>
      <c r="I32" s="217"/>
      <c r="J32" s="217"/>
      <c r="K32" s="155"/>
      <c r="M32" s="199"/>
      <c r="N32" s="199"/>
      <c r="O32" s="199"/>
      <c r="P32" s="199"/>
      <c r="Q32" s="199"/>
      <c r="R32" s="200"/>
      <c r="S32" s="200"/>
      <c r="T32" s="196"/>
      <c r="U32" s="196"/>
      <c r="V32" s="196"/>
      <c r="W32" s="196"/>
      <c r="X32" s="196"/>
      <c r="Y32" s="196"/>
    </row>
    <row r="33" spans="1:25" s="141" customFormat="1" ht="12.75" customHeight="1">
      <c r="A33" s="155"/>
      <c r="B33" s="217"/>
      <c r="C33" s="217"/>
      <c r="D33" s="217"/>
      <c r="E33" s="217"/>
      <c r="F33" s="217"/>
      <c r="G33" s="217"/>
      <c r="H33" s="217"/>
      <c r="I33" s="217"/>
      <c r="J33" s="217"/>
      <c r="K33" s="155"/>
      <c r="M33" s="199"/>
      <c r="N33" s="199"/>
      <c r="O33" s="199"/>
      <c r="P33" s="199"/>
      <c r="Q33" s="199"/>
      <c r="R33" s="200"/>
      <c r="S33" s="203"/>
      <c r="T33" s="196"/>
      <c r="U33" s="196"/>
      <c r="V33" s="196"/>
      <c r="W33" s="196"/>
      <c r="X33" s="196"/>
      <c r="Y33" s="196"/>
    </row>
    <row r="34" spans="1:25" s="141" customFormat="1" ht="13.8">
      <c r="A34" s="155"/>
      <c r="B34" s="209"/>
      <c r="C34" s="209"/>
      <c r="D34" s="219" t="s">
        <v>135</v>
      </c>
      <c r="E34" s="219"/>
      <c r="F34" s="219"/>
      <c r="G34" s="219"/>
      <c r="H34" s="219"/>
      <c r="I34" s="209"/>
      <c r="J34" s="209"/>
      <c r="K34" s="155"/>
      <c r="M34" s="199"/>
      <c r="N34" s="199"/>
      <c r="O34" s="199"/>
      <c r="P34" s="199"/>
      <c r="Q34" s="199"/>
      <c r="R34" s="200"/>
      <c r="S34" s="203"/>
      <c r="T34" s="196"/>
      <c r="U34" s="196"/>
      <c r="V34" s="196"/>
      <c r="W34" s="196"/>
      <c r="X34" s="196"/>
      <c r="Y34" s="196"/>
    </row>
    <row r="35" spans="1:25" s="141" customFormat="1" ht="12.75" customHeight="1">
      <c r="A35" s="155"/>
      <c r="B35" s="155"/>
      <c r="C35" s="155"/>
      <c r="I35" s="155"/>
      <c r="J35" s="155"/>
      <c r="K35" s="155"/>
      <c r="M35" s="199"/>
      <c r="N35" s="199"/>
      <c r="O35" s="199"/>
      <c r="P35" s="199"/>
      <c r="Q35" s="199"/>
      <c r="R35" s="200"/>
      <c r="S35" s="200"/>
      <c r="T35" s="196"/>
      <c r="U35" s="196"/>
      <c r="V35" s="196"/>
      <c r="W35" s="196"/>
      <c r="X35" s="196"/>
      <c r="Y35" s="196"/>
    </row>
    <row r="36" spans="1:25" s="141" customFormat="1" ht="12.75" customHeight="1">
      <c r="A36" s="155"/>
      <c r="B36" s="156" t="s">
        <v>136</v>
      </c>
      <c r="C36" s="155"/>
      <c r="D36" s="155"/>
      <c r="E36" s="155"/>
      <c r="F36" s="211"/>
      <c r="G36" s="155"/>
      <c r="H36" s="155"/>
      <c r="I36" s="155"/>
      <c r="J36" s="155"/>
      <c r="K36" s="155"/>
      <c r="M36" s="199"/>
      <c r="N36" s="199"/>
      <c r="O36" s="199"/>
      <c r="P36" s="199"/>
      <c r="Q36" s="199"/>
      <c r="R36" s="200"/>
      <c r="S36" s="200"/>
      <c r="T36" s="196"/>
      <c r="U36" s="196"/>
      <c r="V36" s="196"/>
      <c r="W36" s="196"/>
      <c r="X36" s="196"/>
      <c r="Y36" s="196"/>
    </row>
    <row r="37" spans="1:25" s="141" customFormat="1" ht="13.8">
      <c r="A37" s="155"/>
      <c r="B37" s="156"/>
      <c r="C37" s="155"/>
      <c r="D37" s="155"/>
      <c r="E37" s="155"/>
      <c r="F37" s="211"/>
      <c r="G37" s="155"/>
      <c r="H37" s="155"/>
      <c r="I37" s="155"/>
      <c r="J37" s="155"/>
      <c r="K37" s="155"/>
      <c r="M37" s="199"/>
      <c r="N37" s="199"/>
      <c r="O37" s="199"/>
      <c r="P37" s="199"/>
      <c r="Q37" s="199"/>
      <c r="R37" s="200"/>
      <c r="S37" s="200"/>
      <c r="T37" s="196"/>
      <c r="U37" s="196"/>
      <c r="V37" s="196"/>
      <c r="W37" s="196"/>
      <c r="X37" s="196"/>
      <c r="Y37" s="196"/>
    </row>
    <row r="38" spans="1:25" s="141" customFormat="1" ht="12.75" customHeight="1">
      <c r="A38" s="155"/>
      <c r="B38" s="217" t="s">
        <v>284</v>
      </c>
      <c r="C38" s="217"/>
      <c r="D38" s="217"/>
      <c r="E38" s="217"/>
      <c r="F38" s="217"/>
      <c r="G38" s="217"/>
      <c r="H38" s="217"/>
      <c r="I38" s="217"/>
      <c r="J38" s="217"/>
      <c r="K38" s="155"/>
      <c r="M38" s="199"/>
      <c r="N38" s="199"/>
      <c r="O38" s="199"/>
      <c r="P38" s="199"/>
      <c r="Q38" s="199"/>
      <c r="R38" s="200"/>
      <c r="S38" s="200"/>
      <c r="T38" s="196"/>
      <c r="U38" s="196"/>
      <c r="V38" s="196"/>
      <c r="W38" s="196"/>
      <c r="X38" s="196"/>
      <c r="Y38" s="196"/>
    </row>
    <row r="39" spans="1:25" s="141" customFormat="1" ht="13.8">
      <c r="A39" s="155"/>
      <c r="B39" s="217"/>
      <c r="C39" s="217"/>
      <c r="D39" s="217"/>
      <c r="E39" s="217"/>
      <c r="F39" s="217"/>
      <c r="G39" s="217"/>
      <c r="H39" s="217"/>
      <c r="I39" s="217"/>
      <c r="J39" s="217"/>
      <c r="K39" s="155"/>
      <c r="M39" s="199"/>
      <c r="N39" s="199"/>
      <c r="O39" s="199"/>
      <c r="P39" s="199"/>
      <c r="Q39" s="199"/>
      <c r="R39" s="200"/>
      <c r="S39" s="200"/>
      <c r="T39" s="196"/>
      <c r="U39" s="196"/>
      <c r="V39" s="196"/>
      <c r="W39" s="196"/>
      <c r="X39" s="196"/>
      <c r="Y39" s="196"/>
    </row>
    <row r="40" spans="1:25" s="141" customFormat="1" ht="13.8">
      <c r="A40" s="155"/>
      <c r="B40" s="209"/>
      <c r="C40" s="209"/>
      <c r="D40" s="209"/>
      <c r="E40" s="209"/>
      <c r="F40" s="209"/>
      <c r="G40" s="209"/>
      <c r="H40" s="209"/>
      <c r="I40" s="209"/>
      <c r="J40" s="209"/>
      <c r="K40" s="155"/>
      <c r="M40" s="199"/>
      <c r="N40" s="199"/>
      <c r="O40" s="199"/>
      <c r="P40" s="199"/>
      <c r="Q40" s="199"/>
      <c r="R40" s="200"/>
      <c r="S40" s="200"/>
      <c r="T40" s="196"/>
      <c r="U40" s="196"/>
      <c r="V40" s="196"/>
      <c r="W40" s="196"/>
      <c r="X40" s="196"/>
      <c r="Y40" s="196"/>
    </row>
    <row r="41" spans="1:25" s="141" customFormat="1" ht="12.75" customHeight="1">
      <c r="A41" s="155"/>
      <c r="B41" s="217" t="s">
        <v>285</v>
      </c>
      <c r="C41" s="217"/>
      <c r="D41" s="217"/>
      <c r="E41" s="217"/>
      <c r="F41" s="217"/>
      <c r="G41" s="217"/>
      <c r="H41" s="217"/>
      <c r="I41" s="217"/>
      <c r="J41" s="217"/>
      <c r="K41" s="155"/>
      <c r="M41" s="199"/>
      <c r="N41" s="199"/>
      <c r="O41" s="199"/>
      <c r="P41" s="199"/>
      <c r="Q41" s="199"/>
      <c r="R41" s="200"/>
      <c r="S41" s="200"/>
      <c r="T41" s="196"/>
      <c r="U41" s="196"/>
      <c r="V41" s="196"/>
      <c r="W41" s="196"/>
      <c r="X41" s="196"/>
      <c r="Y41" s="196"/>
    </row>
    <row r="42" spans="1:25" s="141" customFormat="1" ht="13.8">
      <c r="A42" s="155"/>
      <c r="B42" s="217"/>
      <c r="C42" s="217"/>
      <c r="D42" s="217"/>
      <c r="E42" s="217"/>
      <c r="F42" s="217"/>
      <c r="G42" s="217"/>
      <c r="H42" s="217"/>
      <c r="I42" s="217"/>
      <c r="J42" s="217"/>
      <c r="K42" s="155"/>
      <c r="M42" s="199"/>
      <c r="N42" s="199"/>
      <c r="O42" s="199"/>
      <c r="P42" s="199"/>
      <c r="Q42" s="199"/>
      <c r="R42" s="200"/>
      <c r="S42" s="200"/>
      <c r="T42" s="196"/>
      <c r="U42" s="196"/>
      <c r="V42" s="196"/>
      <c r="W42" s="196"/>
      <c r="X42" s="196"/>
      <c r="Y42" s="196"/>
    </row>
    <row r="43" spans="1:25" s="141" customFormat="1" ht="13.8">
      <c r="A43" s="155"/>
      <c r="B43" s="217"/>
      <c r="C43" s="217"/>
      <c r="D43" s="217"/>
      <c r="E43" s="217"/>
      <c r="F43" s="217"/>
      <c r="G43" s="217"/>
      <c r="H43" s="217"/>
      <c r="I43" s="217"/>
      <c r="J43" s="217"/>
      <c r="K43" s="155"/>
      <c r="M43" s="199"/>
      <c r="N43" s="199"/>
      <c r="O43" s="199"/>
      <c r="P43" s="199"/>
      <c r="Q43" s="199"/>
      <c r="R43" s="200"/>
      <c r="S43" s="200"/>
      <c r="T43" s="196"/>
      <c r="U43" s="196"/>
      <c r="V43" s="196"/>
      <c r="W43" s="196"/>
      <c r="X43" s="196"/>
      <c r="Y43" s="196"/>
    </row>
    <row r="44" spans="1:25" s="141" customFormat="1" ht="12.75" customHeight="1">
      <c r="A44" s="155"/>
      <c r="B44" s="209"/>
      <c r="C44" s="209"/>
      <c r="D44" s="209"/>
      <c r="E44" s="209"/>
      <c r="F44" s="209"/>
      <c r="G44" s="209"/>
      <c r="H44" s="209"/>
      <c r="I44" s="209"/>
      <c r="J44" s="209"/>
      <c r="K44" s="155"/>
      <c r="M44" s="199"/>
      <c r="N44" s="199"/>
      <c r="O44" s="199"/>
      <c r="P44" s="199"/>
      <c r="Q44" s="199"/>
      <c r="R44" s="200"/>
      <c r="S44" s="200"/>
      <c r="T44" s="196"/>
      <c r="U44" s="196"/>
      <c r="V44" s="196"/>
      <c r="W44" s="196"/>
      <c r="X44" s="196"/>
      <c r="Y44" s="196"/>
    </row>
    <row r="45" spans="1:25" s="141" customFormat="1" ht="12.75" customHeight="1">
      <c r="A45" s="155"/>
      <c r="B45" s="217" t="s">
        <v>277</v>
      </c>
      <c r="C45" s="217"/>
      <c r="D45" s="217"/>
      <c r="E45" s="217"/>
      <c r="F45" s="217"/>
      <c r="G45" s="217"/>
      <c r="H45" s="217"/>
      <c r="I45" s="217"/>
      <c r="J45" s="217"/>
      <c r="K45" s="155"/>
      <c r="M45" s="199"/>
      <c r="N45" s="199"/>
      <c r="O45" s="199"/>
      <c r="P45" s="199"/>
      <c r="Q45" s="199"/>
      <c r="R45" s="200"/>
      <c r="S45" s="200"/>
      <c r="T45" s="196"/>
      <c r="U45" s="196"/>
      <c r="V45" s="196"/>
      <c r="W45" s="196"/>
      <c r="X45" s="196"/>
      <c r="Y45" s="196"/>
    </row>
    <row r="46" spans="1:25" s="141" customFormat="1" ht="13.8">
      <c r="A46" s="155"/>
      <c r="B46" s="217"/>
      <c r="C46" s="217"/>
      <c r="D46" s="217"/>
      <c r="E46" s="217"/>
      <c r="F46" s="217"/>
      <c r="G46" s="217"/>
      <c r="H46" s="217"/>
      <c r="I46" s="217"/>
      <c r="J46" s="217"/>
      <c r="K46" s="155"/>
      <c r="M46" s="199"/>
      <c r="N46" s="199"/>
      <c r="O46" s="199"/>
      <c r="P46" s="199"/>
      <c r="Q46" s="199"/>
      <c r="R46" s="200"/>
      <c r="S46" s="200"/>
      <c r="T46" s="196"/>
      <c r="U46" s="196"/>
      <c r="V46" s="196"/>
      <c r="W46" s="196"/>
      <c r="X46" s="196"/>
      <c r="Y46" s="196"/>
    </row>
    <row r="47" spans="1:25" s="141" customFormat="1" ht="13.8">
      <c r="A47" s="155"/>
      <c r="B47" s="217"/>
      <c r="C47" s="217"/>
      <c r="D47" s="217"/>
      <c r="E47" s="217"/>
      <c r="F47" s="217"/>
      <c r="G47" s="217"/>
      <c r="H47" s="217"/>
      <c r="I47" s="217"/>
      <c r="J47" s="217"/>
      <c r="K47" s="155"/>
      <c r="M47" s="199"/>
      <c r="N47" s="199"/>
      <c r="O47" s="199"/>
      <c r="P47" s="199"/>
      <c r="Q47" s="199"/>
      <c r="R47" s="200"/>
      <c r="S47" s="200"/>
      <c r="T47" s="196"/>
      <c r="U47" s="196"/>
      <c r="V47" s="196"/>
      <c r="W47" s="196"/>
      <c r="X47" s="196"/>
      <c r="Y47" s="196"/>
    </row>
    <row r="48" spans="1:25" s="141" customFormat="1" ht="12.75" customHeight="1">
      <c r="A48" s="155"/>
      <c r="B48" s="217"/>
      <c r="C48" s="217"/>
      <c r="D48" s="217"/>
      <c r="E48" s="217"/>
      <c r="F48" s="217"/>
      <c r="G48" s="217"/>
      <c r="H48" s="217"/>
      <c r="I48" s="217"/>
      <c r="J48" s="217"/>
      <c r="K48" s="155"/>
      <c r="M48" s="199"/>
      <c r="N48" s="199"/>
      <c r="O48" s="199"/>
      <c r="P48" s="199"/>
      <c r="Q48" s="199"/>
      <c r="R48" s="200"/>
      <c r="S48" s="200"/>
      <c r="T48" s="196"/>
      <c r="U48" s="196"/>
      <c r="V48" s="196"/>
      <c r="W48" s="196"/>
      <c r="X48" s="196"/>
      <c r="Y48" s="196"/>
    </row>
    <row r="49" spans="1:25" s="141" customFormat="1" ht="13.8">
      <c r="A49" s="155"/>
      <c r="B49" s="155" t="s">
        <v>286</v>
      </c>
      <c r="C49" s="155"/>
      <c r="D49" s="155"/>
      <c r="E49" s="155"/>
      <c r="F49" s="155"/>
      <c r="G49" s="155"/>
      <c r="H49" s="155"/>
      <c r="I49" s="155"/>
      <c r="J49" s="155"/>
      <c r="K49" s="155"/>
      <c r="M49" s="199"/>
      <c r="N49" s="199"/>
      <c r="O49" s="199"/>
      <c r="P49" s="199"/>
      <c r="Q49" s="199"/>
      <c r="R49" s="200"/>
      <c r="S49" s="200"/>
      <c r="T49" s="196"/>
      <c r="U49" s="196"/>
      <c r="V49" s="196"/>
      <c r="W49" s="196"/>
      <c r="X49" s="196"/>
      <c r="Y49" s="196"/>
    </row>
    <row r="50" spans="1:25" s="141" customFormat="1" ht="13.8">
      <c r="A50" s="155"/>
      <c r="B50" s="155"/>
      <c r="C50" s="155"/>
      <c r="D50" s="155"/>
      <c r="F50" s="213" t="s">
        <v>293</v>
      </c>
      <c r="G50" s="211"/>
      <c r="H50" s="155"/>
      <c r="I50" s="155"/>
      <c r="J50" s="155"/>
      <c r="K50" s="155"/>
      <c r="M50" s="199"/>
      <c r="N50" s="199"/>
      <c r="O50" s="199"/>
      <c r="P50" s="199"/>
      <c r="Q50" s="199"/>
      <c r="R50" s="200"/>
      <c r="S50" s="200"/>
      <c r="T50" s="196"/>
      <c r="U50" s="196"/>
      <c r="V50" s="196"/>
      <c r="W50" s="196"/>
      <c r="X50" s="196"/>
      <c r="Y50" s="196"/>
    </row>
    <row r="51" spans="1:25" s="141" customFormat="1" ht="13.8">
      <c r="A51" s="155"/>
      <c r="B51" s="155"/>
      <c r="C51" s="155"/>
      <c r="D51" s="155"/>
      <c r="E51" s="155"/>
      <c r="F51" s="155"/>
      <c r="G51" s="155"/>
      <c r="H51" s="155"/>
      <c r="I51" s="155"/>
      <c r="J51" s="155"/>
      <c r="K51" s="155"/>
      <c r="M51" s="199"/>
      <c r="N51" s="199"/>
      <c r="O51" s="199"/>
      <c r="P51" s="199"/>
      <c r="Q51" s="199"/>
      <c r="R51" s="200"/>
      <c r="S51" s="200"/>
      <c r="T51" s="196"/>
      <c r="U51" s="196"/>
      <c r="V51" s="196"/>
      <c r="W51" s="196"/>
      <c r="X51" s="196"/>
      <c r="Y51" s="196"/>
    </row>
    <row r="52" spans="1:25" s="141" customFormat="1" ht="12.75" customHeight="1">
      <c r="A52" s="155"/>
      <c r="B52" s="156" t="s">
        <v>287</v>
      </c>
      <c r="C52" s="155"/>
      <c r="D52" s="155"/>
      <c r="E52" s="155"/>
      <c r="F52" s="155"/>
      <c r="G52" s="155"/>
      <c r="H52" s="155"/>
      <c r="I52" s="155"/>
      <c r="J52" s="155"/>
      <c r="K52" s="155"/>
      <c r="M52" s="199"/>
      <c r="N52" s="199"/>
      <c r="O52" s="199"/>
      <c r="P52" s="199"/>
      <c r="Q52" s="199"/>
      <c r="R52" s="200"/>
      <c r="S52" s="200"/>
      <c r="T52" s="196"/>
      <c r="U52" s="196"/>
      <c r="V52" s="196"/>
      <c r="W52" s="196"/>
      <c r="X52" s="196"/>
      <c r="Y52" s="196"/>
    </row>
    <row r="53" spans="1:25" s="141" customFormat="1" ht="13.8">
      <c r="A53" s="155"/>
      <c r="B53" s="155"/>
      <c r="C53" s="155"/>
      <c r="D53" s="155"/>
      <c r="E53" s="155"/>
      <c r="F53" s="155"/>
      <c r="G53" s="155"/>
      <c r="H53" s="155"/>
      <c r="I53" s="155"/>
      <c r="J53" s="155"/>
      <c r="K53" s="155"/>
      <c r="M53" s="199"/>
      <c r="N53" s="199"/>
      <c r="O53" s="199"/>
      <c r="P53" s="199"/>
      <c r="Q53" s="199"/>
      <c r="R53" s="200"/>
      <c r="S53" s="200"/>
      <c r="T53" s="196"/>
      <c r="U53" s="196"/>
      <c r="V53" s="196"/>
      <c r="W53" s="196"/>
      <c r="X53" s="196"/>
      <c r="Y53" s="196"/>
    </row>
    <row r="54" spans="1:25" s="141" customFormat="1" ht="12.75" customHeight="1">
      <c r="A54" s="155"/>
      <c r="B54" s="218" t="s">
        <v>288</v>
      </c>
      <c r="C54" s="218"/>
      <c r="D54" s="218"/>
      <c r="E54" s="218"/>
      <c r="F54" s="218"/>
      <c r="G54" s="218"/>
      <c r="H54" s="218"/>
      <c r="I54" s="218"/>
      <c r="J54" s="218"/>
      <c r="K54" s="155"/>
      <c r="M54" s="199"/>
      <c r="N54" s="199"/>
      <c r="O54" s="199"/>
      <c r="P54" s="199"/>
      <c r="Q54" s="199"/>
      <c r="R54" s="200"/>
      <c r="S54" s="200"/>
      <c r="T54" s="196"/>
      <c r="U54" s="196"/>
      <c r="V54" s="196"/>
      <c r="W54" s="196"/>
      <c r="X54" s="196"/>
      <c r="Y54" s="196"/>
    </row>
    <row r="55" spans="1:25" s="141" customFormat="1" ht="13.8">
      <c r="A55" s="155"/>
      <c r="B55" s="218"/>
      <c r="C55" s="218"/>
      <c r="D55" s="218"/>
      <c r="E55" s="218"/>
      <c r="F55" s="218"/>
      <c r="G55" s="218"/>
      <c r="H55" s="218"/>
      <c r="I55" s="218"/>
      <c r="J55" s="218"/>
      <c r="K55" s="155"/>
      <c r="M55" s="199"/>
      <c r="N55" s="199"/>
      <c r="O55" s="199"/>
      <c r="P55" s="199"/>
      <c r="Q55" s="199"/>
      <c r="R55" s="200"/>
      <c r="S55" s="200"/>
      <c r="T55" s="196"/>
      <c r="U55" s="196"/>
      <c r="V55" s="196"/>
      <c r="W55" s="196"/>
      <c r="X55" s="196"/>
      <c r="Y55" s="196"/>
    </row>
    <row r="56" spans="1:25" s="141" customFormat="1" ht="13.8">
      <c r="A56" s="155"/>
      <c r="B56" s="218"/>
      <c r="C56" s="218"/>
      <c r="D56" s="218"/>
      <c r="E56" s="218"/>
      <c r="F56" s="218"/>
      <c r="G56" s="218"/>
      <c r="H56" s="218"/>
      <c r="I56" s="218"/>
      <c r="J56" s="218"/>
      <c r="K56" s="155"/>
      <c r="M56" s="199"/>
      <c r="N56" s="199"/>
      <c r="O56" s="199"/>
      <c r="P56" s="199"/>
      <c r="Q56" s="199"/>
      <c r="R56" s="200"/>
      <c r="S56" s="200"/>
      <c r="T56" s="196"/>
      <c r="U56" s="196"/>
      <c r="V56" s="196"/>
      <c r="W56" s="196"/>
      <c r="X56" s="196"/>
      <c r="Y56" s="196"/>
    </row>
    <row r="57" spans="1:25" s="141" customFormat="1" ht="13.8">
      <c r="A57" s="155"/>
      <c r="B57" s="155"/>
      <c r="C57" s="155"/>
      <c r="D57" s="155"/>
      <c r="F57" s="212"/>
      <c r="G57" s="155"/>
      <c r="H57" s="155"/>
      <c r="I57" s="155"/>
      <c r="J57" s="155"/>
      <c r="K57" s="155"/>
      <c r="M57" s="199"/>
      <c r="N57" s="199"/>
      <c r="O57" s="199"/>
      <c r="P57" s="199"/>
      <c r="Q57" s="199"/>
      <c r="R57" s="200"/>
      <c r="S57" s="200"/>
      <c r="T57" s="196"/>
      <c r="U57" s="196"/>
      <c r="V57" s="196"/>
      <c r="W57" s="196"/>
      <c r="X57" s="196"/>
      <c r="Y57" s="196"/>
    </row>
    <row r="58" spans="1:25" s="141" customFormat="1" ht="13.8">
      <c r="A58" s="155"/>
      <c r="B58" s="155"/>
      <c r="C58" s="155"/>
      <c r="D58" s="155"/>
      <c r="E58" s="155"/>
      <c r="F58" s="155"/>
      <c r="G58" s="155"/>
      <c r="H58" s="155"/>
      <c r="I58" s="155"/>
      <c r="J58" s="155"/>
      <c r="K58" s="155"/>
      <c r="M58" s="199"/>
      <c r="N58" s="199"/>
      <c r="O58" s="199"/>
      <c r="P58" s="199"/>
      <c r="Q58" s="199"/>
      <c r="R58" s="200"/>
      <c r="S58" s="200"/>
      <c r="T58" s="196"/>
      <c r="U58" s="196"/>
      <c r="V58" s="196"/>
      <c r="W58" s="196"/>
      <c r="X58" s="196"/>
      <c r="Y58" s="196"/>
    </row>
    <row r="59" spans="1:25" s="141" customFormat="1" ht="13.8">
      <c r="K59" s="155"/>
      <c r="M59" s="199"/>
      <c r="N59" s="199"/>
      <c r="O59" s="199"/>
      <c r="P59" s="199"/>
      <c r="Q59" s="199"/>
      <c r="R59" s="200"/>
      <c r="S59" s="200"/>
      <c r="T59" s="196"/>
      <c r="U59" s="196"/>
      <c r="V59" s="196"/>
      <c r="W59" s="196"/>
      <c r="X59" s="196"/>
      <c r="Y59" s="196"/>
    </row>
    <row r="60" spans="1:25" s="141" customFormat="1" ht="13.8">
      <c r="K60" s="155"/>
      <c r="M60" s="199"/>
      <c r="N60" s="199"/>
      <c r="O60" s="199"/>
      <c r="P60" s="199"/>
      <c r="Q60" s="199"/>
      <c r="R60" s="200"/>
      <c r="S60" s="200"/>
      <c r="T60" s="196"/>
      <c r="U60" s="196"/>
      <c r="V60" s="196"/>
      <c r="W60" s="196"/>
      <c r="X60" s="196"/>
      <c r="Y60" s="196"/>
    </row>
    <row r="61" spans="1:25" s="141" customFormat="1" ht="13.8">
      <c r="A61" s="155"/>
      <c r="B61" s="155" t="s">
        <v>278</v>
      </c>
      <c r="C61" s="155"/>
      <c r="D61" s="155"/>
      <c r="E61" s="155"/>
      <c r="F61" s="155"/>
      <c r="G61" s="155"/>
      <c r="H61" s="155"/>
      <c r="I61" s="155"/>
      <c r="J61" s="155"/>
      <c r="K61" s="155"/>
      <c r="M61" s="199"/>
      <c r="N61" s="199"/>
      <c r="O61" s="199"/>
      <c r="P61" s="199"/>
      <c r="Q61" s="199"/>
      <c r="R61" s="200"/>
      <c r="S61" s="200"/>
      <c r="T61" s="196"/>
      <c r="U61" s="196"/>
      <c r="V61" s="196"/>
      <c r="W61" s="196"/>
      <c r="X61" s="196"/>
      <c r="Y61" s="196"/>
    </row>
    <row r="62" spans="1:25" s="141" customFormat="1" ht="13.8">
      <c r="A62" s="155"/>
      <c r="C62" s="155"/>
      <c r="D62" s="155"/>
      <c r="F62" s="213" t="s">
        <v>294</v>
      </c>
      <c r="G62" s="214"/>
      <c r="H62" s="155"/>
      <c r="I62" s="155"/>
      <c r="J62" s="155"/>
      <c r="K62" s="155"/>
      <c r="M62" s="199"/>
      <c r="N62" s="199"/>
      <c r="O62" s="199"/>
      <c r="P62" s="199"/>
      <c r="Q62" s="199"/>
      <c r="R62" s="200"/>
      <c r="S62" s="200"/>
      <c r="T62" s="196"/>
      <c r="U62" s="196"/>
      <c r="V62" s="196"/>
      <c r="W62" s="196"/>
      <c r="X62" s="196"/>
      <c r="Y62" s="196"/>
    </row>
    <row r="63" spans="1:25">
      <c r="A63" s="155"/>
      <c r="B63" s="155"/>
      <c r="C63" s="155"/>
      <c r="D63" s="155"/>
      <c r="E63" s="155"/>
      <c r="F63" s="155"/>
      <c r="G63" s="155"/>
      <c r="H63" s="155"/>
      <c r="I63" s="155"/>
      <c r="J63" s="155"/>
      <c r="K63" s="15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2" r:id="rId3"/>
    <hyperlink ref="F25" r:id="rId4"/>
  </hyperlinks>
  <pageMargins left="0.47244094488188981" right="0.23622047244094491" top="0.31496062992125984" bottom="0.82677165354330717" header="0.31496062992125984" footer="0.47244094488188981"/>
  <pageSetup scale="97"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654"/>
  <sheetViews>
    <sheetView tabSelected="1" view="pageBreakPreview" zoomScale="85" zoomScaleNormal="100" zoomScaleSheetLayoutView="85" workbookViewId="0">
      <selection activeCell="K11" sqref="K11"/>
    </sheetView>
  </sheetViews>
  <sheetFormatPr defaultColWidth="9.109375" defaultRowHeight="13.8"/>
  <cols>
    <col min="1" max="11" width="9.109375" style="9" customWidth="1"/>
    <col min="12" max="12" width="5.44140625" style="3" customWidth="1"/>
    <col min="13" max="13" width="4.6640625" style="10" customWidth="1"/>
    <col min="14" max="14" width="4.6640625" style="158" customWidth="1"/>
    <col min="15" max="16" width="4.6640625" style="10" customWidth="1"/>
    <col min="17" max="17" width="4.6640625" style="9" customWidth="1"/>
    <col min="18" max="20" width="4.6640625" style="91" customWidth="1"/>
    <col min="21" max="21" width="4.33203125" style="19" customWidth="1"/>
    <col min="22" max="23" width="9.109375" style="9"/>
    <col min="24" max="24" width="9.33203125" style="9" bestFit="1" customWidth="1"/>
    <col min="25" max="31" width="9.109375" style="9"/>
    <col min="32" max="37" width="7.5546875" style="9" customWidth="1"/>
    <col min="38" max="51" width="9.33203125" style="9" customWidth="1"/>
    <col min="52" max="61" width="10.109375" style="9" customWidth="1"/>
    <col min="62" max="16384" width="9.109375" style="9"/>
  </cols>
  <sheetData>
    <row r="1" spans="1:186" ht="15.6">
      <c r="B1" s="1" t="s">
        <v>47</v>
      </c>
      <c r="C1" s="205" t="s">
        <v>44</v>
      </c>
      <c r="D1" s="2"/>
      <c r="F1" s="1" t="s">
        <v>48</v>
      </c>
      <c r="G1" s="207">
        <v>1</v>
      </c>
      <c r="H1" s="2"/>
      <c r="I1" s="2"/>
      <c r="J1" s="2"/>
      <c r="K1" s="2"/>
      <c r="M1" s="4"/>
      <c r="N1" s="157"/>
      <c r="O1" s="4"/>
      <c r="P1" s="4"/>
      <c r="Q1" s="5"/>
      <c r="R1" s="161"/>
      <c r="S1" s="161"/>
      <c r="T1" s="161"/>
      <c r="U1" s="6"/>
      <c r="V1" s="7"/>
      <c r="W1" s="7"/>
      <c r="X1" s="7"/>
      <c r="Y1" s="7"/>
      <c r="Z1" s="7"/>
      <c r="AA1" s="7"/>
      <c r="AB1" s="7"/>
      <c r="AC1" s="7"/>
      <c r="AD1" s="7"/>
      <c r="AE1" s="7"/>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row>
    <row r="2" spans="1:186" ht="15.6">
      <c r="B2" s="1" t="s">
        <v>49</v>
      </c>
      <c r="C2" s="205" t="s">
        <v>29</v>
      </c>
      <c r="D2" s="2"/>
      <c r="F2" s="1" t="s">
        <v>50</v>
      </c>
      <c r="G2" s="207" t="s">
        <v>56</v>
      </c>
      <c r="H2" s="2"/>
      <c r="I2" s="2"/>
      <c r="J2" s="2"/>
      <c r="K2" s="2"/>
      <c r="Q2" s="11"/>
      <c r="R2" s="162"/>
      <c r="S2" s="162"/>
      <c r="T2" s="162"/>
      <c r="U2" s="6"/>
      <c r="V2" s="7"/>
      <c r="W2" s="7"/>
      <c r="X2" s="7"/>
      <c r="Y2" s="7"/>
      <c r="Z2" s="7"/>
      <c r="AA2" s="7"/>
      <c r="AB2" s="7"/>
      <c r="AC2" s="7"/>
      <c r="AD2" s="7"/>
      <c r="AE2" s="7"/>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row>
    <row r="3" spans="1:186" ht="15.6">
      <c r="B3" s="1" t="s">
        <v>0</v>
      </c>
      <c r="C3" s="206" t="s">
        <v>57</v>
      </c>
      <c r="D3" s="2"/>
      <c r="F3" s="1" t="s">
        <v>45</v>
      </c>
      <c r="G3" s="207" t="s">
        <v>305</v>
      </c>
      <c r="H3" s="2"/>
      <c r="I3" s="2"/>
      <c r="J3" s="2"/>
      <c r="K3" s="2"/>
      <c r="Q3" s="11"/>
      <c r="R3" s="162"/>
      <c r="S3" s="162"/>
      <c r="T3" s="162"/>
      <c r="U3" s="6"/>
      <c r="V3" s="7"/>
      <c r="W3" s="7"/>
      <c r="X3" s="7"/>
      <c r="Y3" s="7"/>
      <c r="Z3" s="7"/>
      <c r="AA3" s="7"/>
      <c r="AB3" s="7"/>
      <c r="AC3" s="7"/>
      <c r="AD3" s="7"/>
      <c r="AE3" s="7"/>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row>
    <row r="4" spans="1:186" ht="15.6">
      <c r="B4" s="2" t="s">
        <v>51</v>
      </c>
      <c r="C4" s="207"/>
      <c r="D4" s="2"/>
      <c r="F4" s="1" t="s">
        <v>52</v>
      </c>
      <c r="G4" s="208" t="s">
        <v>289</v>
      </c>
      <c r="H4" s="2"/>
      <c r="I4" s="2"/>
      <c r="J4" s="2"/>
      <c r="K4" s="2"/>
      <c r="Q4" s="11"/>
      <c r="R4" s="162"/>
      <c r="S4" s="162"/>
      <c r="T4" s="162"/>
      <c r="U4" s="6"/>
      <c r="V4" s="7"/>
      <c r="W4" s="7"/>
      <c r="X4" s="7"/>
      <c r="Y4" s="7"/>
      <c r="Z4" s="7"/>
      <c r="AA4" s="7"/>
      <c r="AB4" s="7"/>
      <c r="AC4" s="7"/>
      <c r="AD4" s="7"/>
      <c r="AE4" s="7"/>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row>
    <row r="5" spans="1:186" ht="13.5" customHeight="1">
      <c r="A5" s="137"/>
      <c r="B5" s="138" t="s">
        <v>133</v>
      </c>
      <c r="C5" s="140" t="s">
        <v>290</v>
      </c>
      <c r="D5" s="137"/>
      <c r="E5" s="138"/>
      <c r="F5" s="12"/>
      <c r="G5" s="2"/>
      <c r="H5" s="2"/>
      <c r="I5" s="2"/>
      <c r="J5" s="2"/>
      <c r="K5" s="2"/>
      <c r="Q5" s="11"/>
      <c r="R5" s="162"/>
      <c r="S5" s="162"/>
      <c r="T5" s="162"/>
      <c r="U5" s="6"/>
      <c r="V5" s="7"/>
      <c r="W5" s="7"/>
      <c r="X5" s="7"/>
      <c r="Y5" s="7"/>
      <c r="Z5" s="7"/>
      <c r="AA5" s="7"/>
      <c r="AB5" s="7"/>
      <c r="AC5" s="7"/>
      <c r="AD5" s="7"/>
      <c r="AE5" s="7"/>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row>
    <row r="6" spans="1:186" ht="13.5" customHeight="1">
      <c r="A6" s="137"/>
      <c r="B6" s="137" t="s">
        <v>51</v>
      </c>
      <c r="C6" s="145"/>
      <c r="D6" s="137"/>
      <c r="E6" s="137"/>
      <c r="F6" s="2"/>
      <c r="G6" s="2"/>
      <c r="H6" s="2"/>
      <c r="I6" s="2"/>
      <c r="J6" s="2"/>
      <c r="K6" s="2"/>
      <c r="Q6" s="11"/>
      <c r="R6" s="162"/>
      <c r="S6" s="162"/>
      <c r="T6" s="162"/>
      <c r="U6" s="6"/>
      <c r="V6" s="7"/>
      <c r="W6" s="7"/>
      <c r="X6" s="7"/>
      <c r="Y6" s="7"/>
      <c r="Z6" s="7"/>
      <c r="AA6" s="7"/>
      <c r="AB6" s="7"/>
      <c r="AC6" s="7"/>
      <c r="AD6" s="7"/>
      <c r="AE6" s="7"/>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row>
    <row r="7" spans="1:186" ht="15.6">
      <c r="A7" s="2"/>
      <c r="B7" s="2"/>
      <c r="C7" s="2"/>
      <c r="D7" s="2"/>
      <c r="E7" s="2"/>
      <c r="F7" s="2"/>
      <c r="G7" s="2"/>
      <c r="H7" s="2"/>
      <c r="I7" s="2"/>
      <c r="J7" s="2"/>
      <c r="K7" s="2"/>
      <c r="Q7" s="11"/>
      <c r="R7" s="162"/>
      <c r="S7" s="162"/>
      <c r="T7" s="162"/>
      <c r="U7" s="6"/>
      <c r="V7" s="7"/>
      <c r="W7" s="7"/>
      <c r="X7" s="7"/>
      <c r="Y7" s="7"/>
      <c r="Z7" s="7"/>
      <c r="AA7" s="7"/>
      <c r="AB7" s="7"/>
      <c r="AC7" s="7"/>
      <c r="AD7" s="7"/>
      <c r="AE7" s="7"/>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row>
    <row r="8" spans="1:186">
      <c r="A8" s="146"/>
      <c r="B8" s="141"/>
      <c r="C8" s="141"/>
      <c r="D8" s="141"/>
      <c r="E8" s="13" t="s">
        <v>47</v>
      </c>
      <c r="F8" s="14" t="str">
        <f>$C$1</f>
        <v>R. Abbott</v>
      </c>
      <c r="G8" s="15"/>
      <c r="H8" s="16"/>
      <c r="I8" s="13" t="s">
        <v>53</v>
      </c>
      <c r="J8" s="17" t="str">
        <f>$G$2</f>
        <v>AA-SM-000-001</v>
      </c>
      <c r="K8" s="16"/>
      <c r="L8" s="18"/>
      <c r="Q8" s="19"/>
      <c r="R8" s="162"/>
      <c r="S8" s="162"/>
      <c r="T8" s="162"/>
      <c r="U8" s="6"/>
      <c r="V8" s="7"/>
      <c r="W8" s="7"/>
      <c r="X8" s="7"/>
      <c r="Y8" s="7"/>
      <c r="Z8" s="7"/>
      <c r="AA8" s="7"/>
      <c r="AB8" s="7"/>
      <c r="AC8" s="7"/>
      <c r="AD8" s="7"/>
      <c r="AE8" s="20"/>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row>
    <row r="9" spans="1:186" s="22" customFormat="1">
      <c r="A9" s="141"/>
      <c r="B9" s="141"/>
      <c r="C9" s="141"/>
      <c r="D9" s="141"/>
      <c r="E9" s="13" t="s">
        <v>49</v>
      </c>
      <c r="F9" s="16" t="str">
        <f>$C$2</f>
        <v xml:space="preserve"> </v>
      </c>
      <c r="G9" s="15"/>
      <c r="H9" s="16"/>
      <c r="I9" s="13" t="s">
        <v>54</v>
      </c>
      <c r="J9" s="16" t="str">
        <f>$G$3</f>
        <v>C</v>
      </c>
      <c r="K9" s="16"/>
      <c r="L9" s="18"/>
      <c r="M9" s="10">
        <v>1</v>
      </c>
      <c r="N9" s="158"/>
      <c r="O9" s="10"/>
      <c r="P9" s="10"/>
      <c r="Q9" s="21"/>
      <c r="R9" s="162"/>
      <c r="S9" s="162"/>
      <c r="T9" s="162"/>
      <c r="U9" s="6"/>
      <c r="V9" s="7"/>
      <c r="W9" s="7"/>
      <c r="X9" s="7"/>
      <c r="Y9" s="7"/>
      <c r="Z9" s="7"/>
      <c r="AA9" s="7"/>
      <c r="AB9" s="7"/>
      <c r="AC9" s="7"/>
      <c r="AD9" s="7"/>
      <c r="AE9" s="7"/>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row>
    <row r="10" spans="1:186">
      <c r="A10" s="141"/>
      <c r="B10" s="141"/>
      <c r="C10" s="141"/>
      <c r="D10" s="141"/>
      <c r="E10" s="13" t="s">
        <v>0</v>
      </c>
      <c r="F10" s="16" t="str">
        <f>$C$3</f>
        <v>Jul-10</v>
      </c>
      <c r="G10" s="15"/>
      <c r="H10" s="16"/>
      <c r="I10" s="13" t="s">
        <v>55</v>
      </c>
      <c r="J10" s="14" t="str">
        <f>L10&amp;" of "&amp;$G$1</f>
        <v>1 of 1</v>
      </c>
      <c r="K10" s="16"/>
      <c r="L10" s="18">
        <f>SUM($M$1:M9)</f>
        <v>1</v>
      </c>
      <c r="Q10" s="19"/>
      <c r="R10" s="162"/>
      <c r="S10" s="162"/>
      <c r="T10" s="162"/>
      <c r="U10" s="6"/>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row>
    <row r="11" spans="1:186">
      <c r="A11" s="3"/>
      <c r="B11" s="3"/>
      <c r="C11" s="3"/>
      <c r="D11" s="3"/>
      <c r="E11" s="142" t="s">
        <v>291</v>
      </c>
      <c r="F11" s="147" t="str">
        <f>$C$5</f>
        <v>STANDARD SPREADSHEET METHOD</v>
      </c>
      <c r="G11" s="15"/>
      <c r="H11" s="15"/>
      <c r="I11" s="15"/>
      <c r="J11" s="15"/>
      <c r="K11" s="15"/>
      <c r="L11" s="18"/>
      <c r="Q11" s="23"/>
      <c r="R11" s="111"/>
      <c r="S11" s="111"/>
    </row>
    <row r="12" spans="1:186" ht="15.6">
      <c r="A12" s="3"/>
      <c r="B12" s="26" t="str">
        <f>$G$4</f>
        <v>ALUMINUM MATERIAL DATA</v>
      </c>
      <c r="C12" s="141"/>
      <c r="D12" s="141"/>
      <c r="E12" s="3"/>
      <c r="F12" s="3"/>
      <c r="G12" s="3"/>
      <c r="H12" s="3"/>
      <c r="I12" s="24"/>
      <c r="J12" s="14"/>
      <c r="K12" s="3"/>
      <c r="Q12" s="11"/>
    </row>
    <row r="13" spans="1:186">
      <c r="B13" s="225" t="s">
        <v>306</v>
      </c>
      <c r="C13" s="225"/>
      <c r="D13" s="225"/>
      <c r="E13" s="225"/>
      <c r="F13" s="225"/>
      <c r="G13" s="225"/>
      <c r="H13" s="225"/>
      <c r="I13" s="225"/>
      <c r="J13" s="225"/>
      <c r="K13" s="225"/>
      <c r="Q13" s="23"/>
      <c r="R13" s="111"/>
      <c r="S13" s="111"/>
      <c r="V13" s="32" t="s">
        <v>58</v>
      </c>
      <c r="W13" s="33" t="str">
        <f>B14</f>
        <v>(MIL-HNDBK-5H, 1998)</v>
      </c>
    </row>
    <row r="14" spans="1:186">
      <c r="A14" s="25"/>
      <c r="B14" s="225" t="s">
        <v>296</v>
      </c>
      <c r="C14" s="225"/>
      <c r="D14" s="3" t="str">
        <f>"Table "&amp;AD18&amp;":"</f>
        <v>Table 3.7.4.0(b1):</v>
      </c>
      <c r="E14" s="31"/>
      <c r="F14" s="31"/>
      <c r="G14" s="31"/>
      <c r="Q14" s="23"/>
      <c r="R14" s="111"/>
      <c r="S14" s="111"/>
      <c r="U14" s="27"/>
      <c r="V14" s="35"/>
      <c r="W14" s="35">
        <v>-3</v>
      </c>
      <c r="X14" s="35">
        <v>-2</v>
      </c>
      <c r="Y14" s="35">
        <v>-1</v>
      </c>
      <c r="Z14" s="36">
        <v>0</v>
      </c>
      <c r="AA14" s="36">
        <v>1</v>
      </c>
      <c r="AB14" s="36">
        <v>2</v>
      </c>
      <c r="AC14" s="36">
        <v>3</v>
      </c>
      <c r="AD14" s="36">
        <v>4</v>
      </c>
      <c r="AE14" s="36">
        <v>5</v>
      </c>
      <c r="AF14" s="36">
        <v>6</v>
      </c>
      <c r="AG14" s="36">
        <v>7</v>
      </c>
      <c r="AH14" s="36">
        <v>8</v>
      </c>
      <c r="AI14" s="36">
        <v>9</v>
      </c>
      <c r="AJ14" s="36">
        <v>10</v>
      </c>
      <c r="AK14" s="36">
        <v>11</v>
      </c>
      <c r="AL14" s="36">
        <v>12</v>
      </c>
      <c r="AM14" s="36">
        <v>13</v>
      </c>
      <c r="AN14" s="36">
        <v>14</v>
      </c>
      <c r="AO14" s="36">
        <v>15</v>
      </c>
      <c r="AP14" s="36">
        <v>16</v>
      </c>
      <c r="AQ14" s="36">
        <v>17</v>
      </c>
      <c r="AR14" s="36">
        <v>18</v>
      </c>
      <c r="AS14" s="36">
        <v>19</v>
      </c>
      <c r="AT14" s="36">
        <v>20</v>
      </c>
      <c r="AU14" s="36">
        <v>21</v>
      </c>
      <c r="AV14" s="36">
        <v>22</v>
      </c>
      <c r="AW14" s="36">
        <v>23</v>
      </c>
      <c r="AX14" s="36">
        <v>24</v>
      </c>
      <c r="AY14" s="36">
        <v>25</v>
      </c>
      <c r="AZ14" s="36">
        <v>26</v>
      </c>
      <c r="BA14" s="36">
        <v>27</v>
      </c>
      <c r="BB14" s="35">
        <v>43</v>
      </c>
      <c r="BC14" s="35">
        <v>44</v>
      </c>
      <c r="BD14" s="35">
        <v>45</v>
      </c>
      <c r="BE14" s="35">
        <v>46</v>
      </c>
      <c r="BF14" s="35">
        <v>47</v>
      </c>
      <c r="BG14" s="35">
        <v>48</v>
      </c>
      <c r="BH14" s="37">
        <v>49</v>
      </c>
      <c r="BI14" s="30"/>
      <c r="BJ14" s="30"/>
      <c r="BK14" s="30"/>
      <c r="BL14" s="30"/>
      <c r="BM14" s="30"/>
      <c r="BN14" s="30"/>
      <c r="BO14" s="30"/>
      <c r="BP14" s="30"/>
      <c r="BQ14" s="30"/>
      <c r="BR14" s="30"/>
      <c r="BS14" s="30"/>
      <c r="BT14" s="30"/>
      <c r="BU14" s="30"/>
      <c r="BV14" s="30"/>
      <c r="BW14" s="30"/>
    </row>
    <row r="15" spans="1:186">
      <c r="A15" s="27"/>
      <c r="C15" s="67" t="str">
        <f>"Material Properties for "</f>
        <v xml:space="preserve">Material Properties for </v>
      </c>
      <c r="D15" s="220" t="s">
        <v>302</v>
      </c>
      <c r="E15" s="220"/>
      <c r="F15" s="220"/>
      <c r="G15" s="220"/>
      <c r="H15" s="220"/>
      <c r="I15" s="29"/>
      <c r="J15" s="29"/>
      <c r="K15" s="29"/>
      <c r="Q15" s="23"/>
      <c r="R15" s="111"/>
      <c r="S15" s="111"/>
      <c r="U15" s="38"/>
      <c r="V15" s="39"/>
      <c r="W15" s="39"/>
      <c r="X15" s="39"/>
      <c r="Y15" s="39"/>
      <c r="Z15" s="40" t="s">
        <v>7</v>
      </c>
      <c r="AA15" s="41" t="s">
        <v>7</v>
      </c>
      <c r="AB15" s="42"/>
      <c r="AC15" s="41"/>
      <c r="AD15" s="41" t="s">
        <v>8</v>
      </c>
      <c r="AE15" s="41"/>
      <c r="AF15" s="43" t="s">
        <v>9</v>
      </c>
      <c r="AG15" s="43"/>
      <c r="AH15" s="44"/>
      <c r="AI15" s="43" t="s">
        <v>10</v>
      </c>
      <c r="AJ15" s="43"/>
      <c r="AK15" s="44"/>
      <c r="AL15" s="43" t="s">
        <v>11</v>
      </c>
      <c r="AM15" s="43"/>
      <c r="AN15" s="44"/>
      <c r="AO15" s="41" t="s">
        <v>4</v>
      </c>
      <c r="AP15" s="43" t="s">
        <v>12</v>
      </c>
      <c r="AQ15" s="44"/>
      <c r="AR15" s="43" t="s">
        <v>13</v>
      </c>
      <c r="AS15" s="44"/>
      <c r="AT15" s="41" t="s">
        <v>14</v>
      </c>
      <c r="AU15" s="43" t="s">
        <v>5</v>
      </c>
      <c r="AV15" s="44"/>
      <c r="AW15" s="43" t="s">
        <v>15</v>
      </c>
      <c r="AX15" s="44"/>
      <c r="AY15" s="41" t="s">
        <v>16</v>
      </c>
      <c r="AZ15" s="41" t="s">
        <v>17</v>
      </c>
      <c r="BA15" s="45" t="s">
        <v>18</v>
      </c>
      <c r="BB15" s="39"/>
      <c r="BC15" s="46"/>
      <c r="BD15" s="46" t="s">
        <v>6</v>
      </c>
      <c r="BE15" s="46"/>
      <c r="BF15" s="46"/>
      <c r="BG15" s="46" t="s">
        <v>30</v>
      </c>
      <c r="BH15" s="47"/>
      <c r="BI15" s="30"/>
      <c r="BJ15" s="30"/>
      <c r="BK15" s="30"/>
      <c r="BL15" s="30"/>
      <c r="BM15" s="30"/>
      <c r="BN15" s="30"/>
      <c r="BO15" s="30"/>
      <c r="BP15" s="30"/>
      <c r="BQ15" s="30"/>
      <c r="BR15" s="30"/>
      <c r="BS15" s="30"/>
      <c r="BT15" s="30"/>
      <c r="BU15" s="30"/>
      <c r="BV15" s="30"/>
      <c r="BW15" s="30"/>
    </row>
    <row r="16" spans="1:186">
      <c r="A16" s="25"/>
      <c r="H16" s="29"/>
      <c r="I16" s="29"/>
      <c r="J16" s="29"/>
      <c r="K16" s="29"/>
      <c r="Q16" s="23"/>
      <c r="R16" s="111"/>
      <c r="S16" s="111"/>
      <c r="U16" s="38"/>
      <c r="V16" s="48" t="str">
        <f>W18&amp;X18&amp;"-"&amp;AB18&amp;" ("&amp;AC18&amp;") - "&amp;AE18&amp;"in"</f>
        <v>7075-T6 (QQ-A-250/12) - 0.040/0.125in</v>
      </c>
      <c r="W16" s="48"/>
      <c r="X16" s="48"/>
      <c r="Y16" s="48"/>
      <c r="Z16" s="49" t="s">
        <v>19</v>
      </c>
      <c r="AA16" s="50" t="s">
        <v>20</v>
      </c>
      <c r="AB16" s="50" t="s">
        <v>21</v>
      </c>
      <c r="AC16" s="51"/>
      <c r="AD16" s="50" t="s">
        <v>1</v>
      </c>
      <c r="AE16" s="50" t="s">
        <v>22</v>
      </c>
      <c r="AF16" s="50" t="s">
        <v>2</v>
      </c>
      <c r="AG16" s="50" t="s">
        <v>23</v>
      </c>
      <c r="AH16" s="50" t="s">
        <v>3</v>
      </c>
      <c r="AI16" s="50" t="s">
        <v>2</v>
      </c>
      <c r="AJ16" s="50" t="s">
        <v>23</v>
      </c>
      <c r="AK16" s="50" t="s">
        <v>3</v>
      </c>
      <c r="AL16" s="50" t="s">
        <v>2</v>
      </c>
      <c r="AM16" s="50" t="s">
        <v>23</v>
      </c>
      <c r="AN16" s="50" t="s">
        <v>3</v>
      </c>
      <c r="AO16" s="50" t="s">
        <v>24</v>
      </c>
      <c r="AP16" s="50" t="s">
        <v>25</v>
      </c>
      <c r="AQ16" s="50" t="s">
        <v>26</v>
      </c>
      <c r="AR16" s="50" t="s">
        <v>25</v>
      </c>
      <c r="AS16" s="50" t="s">
        <v>26</v>
      </c>
      <c r="AT16" s="50" t="s">
        <v>24</v>
      </c>
      <c r="AU16" s="50" t="s">
        <v>27</v>
      </c>
      <c r="AV16" s="50" t="s">
        <v>28</v>
      </c>
      <c r="AW16" s="50" t="s">
        <v>27</v>
      </c>
      <c r="AX16" s="50" t="s">
        <v>28</v>
      </c>
      <c r="AY16" s="50" t="s">
        <v>24</v>
      </c>
      <c r="AZ16" s="50"/>
      <c r="BA16" s="52"/>
      <c r="BB16" s="48"/>
      <c r="BC16" s="53" t="s">
        <v>31</v>
      </c>
      <c r="BD16" s="53" t="s">
        <v>32</v>
      </c>
      <c r="BE16" s="53" t="s">
        <v>33</v>
      </c>
      <c r="BF16" s="53" t="s">
        <v>31</v>
      </c>
      <c r="BG16" s="53" t="s">
        <v>32</v>
      </c>
      <c r="BH16" s="54" t="s">
        <v>33</v>
      </c>
      <c r="BI16" s="30"/>
      <c r="BJ16" s="30"/>
      <c r="BK16" s="30"/>
      <c r="BL16" s="30"/>
      <c r="BM16" s="30"/>
      <c r="BN16" s="30"/>
      <c r="BO16" s="30"/>
      <c r="BP16" s="30"/>
      <c r="BQ16" s="30"/>
      <c r="BR16" s="30"/>
      <c r="BS16" s="30"/>
      <c r="BT16" s="30"/>
      <c r="BU16" s="30"/>
      <c r="BV16" s="30"/>
      <c r="BW16" s="30"/>
    </row>
    <row r="17" spans="1:75" ht="14.4" thickBot="1">
      <c r="A17" s="27"/>
      <c r="B17" s="55" t="s">
        <v>46</v>
      </c>
      <c r="C17" s="27"/>
      <c r="D17" s="27"/>
      <c r="E17" s="27"/>
      <c r="F17" s="27"/>
      <c r="G17" s="27"/>
      <c r="H17" s="27"/>
      <c r="I17" s="27"/>
      <c r="J17" s="27"/>
      <c r="K17" s="27"/>
      <c r="Q17" s="23"/>
      <c r="R17" s="111"/>
      <c r="S17" s="111"/>
      <c r="U17" s="27"/>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56"/>
      <c r="BI17" s="30"/>
      <c r="BJ17" s="30"/>
      <c r="BK17" s="30"/>
      <c r="BL17" s="30"/>
      <c r="BM17" s="30"/>
      <c r="BN17" s="30"/>
      <c r="BO17" s="30"/>
      <c r="BP17" s="30"/>
      <c r="BQ17" s="30"/>
      <c r="BR17" s="30"/>
      <c r="BS17" s="30"/>
      <c r="BT17" s="30"/>
      <c r="BU17" s="30"/>
      <c r="BV17" s="30"/>
      <c r="BW17" s="30"/>
    </row>
    <row r="18" spans="1:75" ht="15.6" customHeight="1" thickBot="1">
      <c r="A18" s="27"/>
      <c r="B18" s="57" t="s">
        <v>71</v>
      </c>
      <c r="C18" s="39" t="s">
        <v>2</v>
      </c>
      <c r="D18" s="58">
        <f>IF(AF18="","",AF18*1000)</f>
        <v>78000</v>
      </c>
      <c r="E18" s="56" t="str">
        <f t="shared" ref="E18:E31" si="0">IF(D18="","","psi")</f>
        <v>psi</v>
      </c>
      <c r="F18" s="27"/>
      <c r="G18" s="223" t="str">
        <f>"Derivation of shear yield stress, ref "&amp;B14&amp;", Eqn 9.8.4.6.2"</f>
        <v>Derivation of shear yield stress, ref (MIL-HNDBK-5H, 1998), Eqn 9.8.4.6.2</v>
      </c>
      <c r="H18" s="223"/>
      <c r="I18" s="223"/>
      <c r="J18" s="223"/>
      <c r="K18" s="223"/>
      <c r="Q18" s="23"/>
      <c r="R18" s="111"/>
      <c r="S18" s="111"/>
      <c r="U18" s="27"/>
      <c r="V18" s="59">
        <f>INDEX('NAME LIST'!A2:A169,MATCH(Sheet1!D15,MATLIST,0))</f>
        <v>65</v>
      </c>
      <c r="W18" s="27" t="str">
        <f>IF(INDEX('Base Material Data'!$A$7:$AE$1716,$V18,W14+4)=0,"",INDEX('Base Material Data'!$A$7:$AE$1716,$V18,W14+4))</f>
        <v/>
      </c>
      <c r="X18" s="27">
        <f>IF(INDEX('Base Material Data'!$A$7:$AE$1716,$V18,X14+4)=0,"",INDEX('Base Material Data'!$A$7:$AE$1716,$V18,X14+4))</f>
        <v>7075</v>
      </c>
      <c r="Y18" s="27">
        <f>IF(INDEX('Base Material Data'!$A$7:$AE$1716,$V18,Y14+4)=0,"",INDEX('Base Material Data'!$A$7:$AE$1716,$V18,Y14+4))</f>
        <v>65</v>
      </c>
      <c r="Z18" s="27" t="str">
        <f>IF(INDEX('Base Material Data'!$A$7:$BB$300,$V18,Z14+4)=0,"",INDEX('Base Material Data'!$A$7:$BB$300,$V18,Z14+4))</f>
        <v/>
      </c>
      <c r="AA18" s="27" t="str">
        <f>IF(INDEX('Base Material Data'!$A$7:$BB$300,$V18,AA14+4)=0,"",INDEX('Base Material Data'!$A$7:$BB$300,$V18,AA14+4))</f>
        <v>B7075</v>
      </c>
      <c r="AB18" s="27" t="str">
        <f>IF(INDEX('Base Material Data'!$A$7:$BB$300,$V18,AB14+4)=0,"",INDEX('Base Material Data'!$A$7:$BB$300,$V18,AB14+4))</f>
        <v>T6</v>
      </c>
      <c r="AC18" s="27" t="str">
        <f>IF(INDEX('Base Material Data'!$A$7:$BB$300,$V18,AC14+4)=0,"",INDEX('Base Material Data'!$A$7:$BB$300,$V18,AC14+4))</f>
        <v>QQ-A-250/12</v>
      </c>
      <c r="AD18" s="27" t="str">
        <f>IF(INDEX('Base Material Data'!$A$7:$BB$300,$V18,AD14+4)=0,"",INDEX('Base Material Data'!$A$7:$BB$300,$V18,AD14+4))</f>
        <v>3.7.4.0(b1)</v>
      </c>
      <c r="AE18" s="27" t="str">
        <f>IF(INDEX('Base Material Data'!$A$7:$BB$300,$V18,AE14+4)=0,"",INDEX('Base Material Data'!$A$7:$BB$300,$V18,AE14+4))</f>
        <v>0.040/0.125</v>
      </c>
      <c r="AF18" s="27">
        <f>IF(INDEX('Base Material Data'!$A$7:$BB$300,$V18,AF14+4)=0,"",INDEX('Base Material Data'!$A$7:$BB$300,$V18,AF14+4))</f>
        <v>78</v>
      </c>
      <c r="AG18" s="27">
        <f>IF(INDEX('Base Material Data'!$A$7:$BB$300,$V18,AG14+4)=0,"",INDEX('Base Material Data'!$A$7:$BB$300,$V18,AG14+4))</f>
        <v>78</v>
      </c>
      <c r="AH18" s="27" t="str">
        <f>IF(INDEX('Base Material Data'!$A$7:$BB$300,$V18,AH14+4)=0,"",INDEX('Base Material Data'!$A$7:$BB$300,$V18,AH14+4))</f>
        <v/>
      </c>
      <c r="AI18" s="27">
        <f>IF(INDEX('Base Material Data'!$A$7:$BB$300,$V18,AI14+4)=0,"",INDEX('Base Material Data'!$A$7:$BB$300,$V18,AI14+4))</f>
        <v>70</v>
      </c>
      <c r="AJ18" s="27">
        <f>IF(INDEX('Base Material Data'!$A$7:$BB$300,$V18,AJ14+4)=0,"",INDEX('Base Material Data'!$A$7:$BB$300,$V18,AJ14+4))</f>
        <v>68</v>
      </c>
      <c r="AK18" s="27" t="str">
        <f>IF(INDEX('Base Material Data'!$A$7:$BB$300,$V18,AK14+4)=0,"",INDEX('Base Material Data'!$A$7:$BB$300,$V18,AK14+4))</f>
        <v/>
      </c>
      <c r="AL18" s="27">
        <f>IF(INDEX('Base Material Data'!$A$7:$BB$300,$V18,AL14+4)=0,"",INDEX('Base Material Data'!$A$7:$BB$300,$V18,AL14+4))</f>
        <v>69</v>
      </c>
      <c r="AM18" s="27">
        <f>IF(INDEX('Base Material Data'!$A$7:$BB$300,$V18,AM14+4)=0,"",INDEX('Base Material Data'!$A$7:$BB$300,$V18,AM14+4))</f>
        <v>72</v>
      </c>
      <c r="AN18" s="27" t="str">
        <f>IF(INDEX('Base Material Data'!$A$7:$BB$300,$V18,AN14+4)=0,"",INDEX('Base Material Data'!$A$7:$BB$300,$V18,AN14+4))</f>
        <v/>
      </c>
      <c r="AO18" s="27">
        <f>IF(INDEX('Base Material Data'!$A$7:$BB$300,$V18,AO14+4)=0,"",INDEX('Base Material Data'!$A$7:$BB$300,$V18,AO14+4))</f>
        <v>47</v>
      </c>
      <c r="AP18" s="27">
        <f>IF(INDEX('Base Material Data'!$A$7:$BB$300,$V18,AP14+4)=0,"",INDEX('Base Material Data'!$A$7:$BB$300,$V18,AP14+4))</f>
        <v>121</v>
      </c>
      <c r="AQ18" s="27">
        <f>IF(INDEX('Base Material Data'!$A$7:$BB$300,$V18,AQ14+4)=0,"",INDEX('Base Material Data'!$A$7:$BB$300,$V18,AQ14+4))</f>
        <v>156</v>
      </c>
      <c r="AR18" s="27">
        <f>IF(INDEX('Base Material Data'!$A$7:$BB$300,$V18,AR14+4)=0,"",INDEX('Base Material Data'!$A$7:$BB$300,$V18,AR14+4))</f>
        <v>102</v>
      </c>
      <c r="AS18" s="27">
        <f>IF(INDEX('Base Material Data'!$A$7:$BB$300,$V18,AS14+4)=0,"",INDEX('Base Material Data'!$A$7:$BB$300,$V18,AS14+4))</f>
        <v>119</v>
      </c>
      <c r="AT18" s="27">
        <f>IF(INDEX('Base Material Data'!$A$7:$BB$300,$V18,AT14+4)=0,"",INDEX('Base Material Data'!$A$7:$BB$300,$V18,AT14+4))</f>
        <v>8</v>
      </c>
      <c r="AU18" s="27">
        <f>IF(INDEX('Base Material Data'!$A$7:$BB$300,$V18,AU14+4)=0,"",INDEX('Base Material Data'!$A$7:$BB$300,$V18,AU14+4))</f>
        <v>10.3</v>
      </c>
      <c r="AV18" s="27">
        <f>IF(INDEX('Base Material Data'!$A$7:$BB$300,$V18,AV14+4)=0,"",INDEX('Base Material Data'!$A$7:$BB$300,$V18,AV14+4))</f>
        <v>10.3</v>
      </c>
      <c r="AW18" s="27">
        <f>IF(INDEX('Base Material Data'!$A$7:$BB$300,$V18,AW14+4)=0,"",INDEX('Base Material Data'!$A$7:$BB$300,$V18,AW14+4))</f>
        <v>10.5</v>
      </c>
      <c r="AX18" s="27">
        <f>IF(INDEX('Base Material Data'!$A$7:$BB$300,$V18,AX14+4)=0,"",INDEX('Base Material Data'!$A$7:$BB$300,$V18,AX14+4))</f>
        <v>10.5</v>
      </c>
      <c r="AY18" s="27">
        <f>IF(INDEX('Base Material Data'!$A$7:$BB$300,$V18,AY14+4)=0,"",INDEX('Base Material Data'!$A$7:$BB$300,$V18,AY14+4))</f>
        <v>3.9</v>
      </c>
      <c r="AZ18" s="27">
        <f>IF(INDEX('Base Material Data'!$A$7:$BB$300,$V18,AZ14+4)=0,"",INDEX('Base Material Data'!$A$7:$BB$300,$V18,AZ14+4))</f>
        <v>0.33</v>
      </c>
      <c r="BA18" s="27">
        <f>IF(INDEX('Base Material Data'!$A$7:$BB$300,$V18,BA14+4)=0,"",INDEX('Base Material Data'!$A$7:$BB$300,$V18,BA14+4))</f>
        <v>0.10100000000000001</v>
      </c>
      <c r="BB18" s="27" t="str">
        <f>IF(INDEX('Base Material Data'!$A$7:$BB$300,$V18,BB14+4)=0,"",INDEX('Base Material Data'!$A$7:$BB$300,$V18,BB14+4))</f>
        <v>P</v>
      </c>
      <c r="BC18" s="27">
        <f>IF(INDEX('Base Material Data'!$A$7:$BB$300,$V18,BC14+4)=0,"",INDEX('Base Material Data'!$A$7:$BB$300,$V18,BC14+4))</f>
        <v>13</v>
      </c>
      <c r="BD18" s="27">
        <f>IF(INDEX('Base Material Data'!$A$7:$BB$300,$V18,BD14+4)=0,"",INDEX('Base Material Data'!$A$7:$BB$300,$V18,BD14+4))</f>
        <v>12</v>
      </c>
      <c r="BE18" s="27" t="str">
        <f>IF(INDEX('Base Material Data'!$A$7:$BB$300,$V18,BE14+4)=0,"",INDEX('Base Material Data'!$A$7:$BB$300,$V18,BE14+4))</f>
        <v/>
      </c>
      <c r="BF18" s="27">
        <f>IF(INDEX('Base Material Data'!$A$7:$BB$300,$V18,BF14+4)=0,"",INDEX('Base Material Data'!$A$7:$BB$300,$V18,BF14+4))</f>
        <v>17</v>
      </c>
      <c r="BG18" s="27">
        <f>IF(INDEX('Base Material Data'!$A$7:$BB$300,$V18,BG14+4)=0,"",INDEX('Base Material Data'!$A$7:$BB$300,$V18,BG14+4))</f>
        <v>15</v>
      </c>
      <c r="BH18" s="60" t="str">
        <f>IF(INDEX('Base Material Data'!$A$7:$BB$300,$V18,BH14+4)=0,"",INDEX('Base Material Data'!$A$7:$BB$300,$V18,BH14+4))</f>
        <v/>
      </c>
      <c r="BI18" s="30"/>
      <c r="BJ18" s="30"/>
      <c r="BK18" s="30"/>
      <c r="BL18" s="30"/>
      <c r="BM18" s="30"/>
      <c r="BN18" s="30"/>
      <c r="BO18" s="30"/>
      <c r="BP18" s="30"/>
      <c r="BQ18" s="30"/>
      <c r="BR18" s="30"/>
      <c r="BS18" s="30"/>
      <c r="BT18" s="30"/>
      <c r="BU18" s="30"/>
      <c r="BV18" s="30"/>
      <c r="BW18" s="30"/>
    </row>
    <row r="19" spans="1:75">
      <c r="A19" s="27"/>
      <c r="B19" s="61"/>
      <c r="C19" s="27" t="s">
        <v>23</v>
      </c>
      <c r="D19" s="62">
        <f>IF(AG18="","",AG18*1000)</f>
        <v>78000</v>
      </c>
      <c r="E19" s="60" t="str">
        <f t="shared" si="0"/>
        <v>psi</v>
      </c>
      <c r="G19" s="223"/>
      <c r="H19" s="223"/>
      <c r="I19" s="223"/>
      <c r="J19" s="223"/>
      <c r="K19" s="223"/>
      <c r="Q19" s="23"/>
      <c r="R19" s="111"/>
      <c r="S19" s="111"/>
      <c r="U19" s="27"/>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63"/>
      <c r="BI19" s="30"/>
      <c r="BJ19" s="30"/>
      <c r="BK19" s="30"/>
      <c r="BL19" s="30"/>
      <c r="BM19" s="30"/>
      <c r="BN19" s="30"/>
      <c r="BO19" s="30"/>
      <c r="BP19" s="30"/>
      <c r="BQ19" s="30"/>
      <c r="BR19" s="30"/>
      <c r="BS19" s="30"/>
      <c r="BT19" s="30"/>
      <c r="BU19" s="30"/>
      <c r="BV19" s="30"/>
      <c r="BW19" s="30"/>
    </row>
    <row r="20" spans="1:75" ht="12.75" customHeight="1">
      <c r="A20" s="27"/>
      <c r="B20" s="64"/>
      <c r="C20" s="48" t="s">
        <v>3</v>
      </c>
      <c r="D20" s="65" t="str">
        <f>IF(AH18="","",AH18*1000)</f>
        <v/>
      </c>
      <c r="E20" s="63" t="str">
        <f t="shared" si="0"/>
        <v/>
      </c>
      <c r="G20" s="67" t="s">
        <v>73</v>
      </c>
      <c r="H20" s="106">
        <f>D21</f>
        <v>70000</v>
      </c>
      <c r="I20" s="27" t="s">
        <v>34</v>
      </c>
      <c r="K20" s="34"/>
      <c r="Q20" s="23"/>
      <c r="R20" s="111"/>
      <c r="S20" s="111"/>
      <c r="U20" s="27"/>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row>
    <row r="21" spans="1:75" ht="15">
      <c r="A21" s="27"/>
      <c r="B21" s="57" t="s">
        <v>72</v>
      </c>
      <c r="C21" s="39" t="s">
        <v>2</v>
      </c>
      <c r="D21" s="58">
        <f>IF(AI18="","",AI18*1000)</f>
        <v>70000</v>
      </c>
      <c r="E21" s="56" t="str">
        <f t="shared" si="0"/>
        <v>psi</v>
      </c>
      <c r="F21" s="66"/>
      <c r="G21" s="67" t="s">
        <v>74</v>
      </c>
      <c r="H21" s="106">
        <f>D22</f>
        <v>68000</v>
      </c>
      <c r="I21" s="27" t="s">
        <v>34</v>
      </c>
      <c r="K21" s="34"/>
      <c r="Q21" s="23"/>
      <c r="R21" s="111"/>
      <c r="S21" s="111"/>
      <c r="U21" s="27"/>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row>
    <row r="22" spans="1:75" ht="15">
      <c r="A22" s="27"/>
      <c r="B22" s="61"/>
      <c r="C22" s="27" t="s">
        <v>23</v>
      </c>
      <c r="D22" s="62">
        <f>IF(AJ18="","",AJ18*1000)</f>
        <v>68000</v>
      </c>
      <c r="E22" s="60" t="str">
        <f t="shared" si="0"/>
        <v>psi</v>
      </c>
      <c r="F22" s="30"/>
      <c r="G22" s="67" t="s">
        <v>75</v>
      </c>
      <c r="H22" s="106">
        <f>D24</f>
        <v>69000</v>
      </c>
      <c r="I22" s="27" t="s">
        <v>34</v>
      </c>
      <c r="K22" s="30"/>
      <c r="Q22" s="23"/>
      <c r="R22" s="111"/>
      <c r="S22" s="111"/>
      <c r="U22" s="27"/>
      <c r="V22" s="30"/>
      <c r="W22" s="68"/>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row>
    <row r="23" spans="1:75" ht="15">
      <c r="A23" s="27"/>
      <c r="B23" s="64"/>
      <c r="C23" s="48" t="s">
        <v>3</v>
      </c>
      <c r="D23" s="65" t="str">
        <f>IF(AK18="","",AK18*1000)</f>
        <v/>
      </c>
      <c r="E23" s="63" t="str">
        <f t="shared" si="0"/>
        <v/>
      </c>
      <c r="G23" s="67" t="s">
        <v>77</v>
      </c>
      <c r="H23" s="106">
        <f>D25</f>
        <v>72000</v>
      </c>
      <c r="I23" s="27" t="s">
        <v>34</v>
      </c>
      <c r="K23" s="30"/>
      <c r="Q23" s="23"/>
      <c r="R23" s="111"/>
      <c r="S23" s="111"/>
      <c r="U23" s="27"/>
      <c r="V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row>
    <row r="24" spans="1:75" ht="15">
      <c r="A24" s="27"/>
      <c r="B24" s="57" t="s">
        <v>76</v>
      </c>
      <c r="C24" s="39" t="s">
        <v>2</v>
      </c>
      <c r="D24" s="58">
        <f>IF(AL18="","",AL18*1000)</f>
        <v>69000</v>
      </c>
      <c r="E24" s="56" t="str">
        <f t="shared" si="0"/>
        <v>psi</v>
      </c>
      <c r="G24" s="67" t="s">
        <v>78</v>
      </c>
      <c r="H24" s="106">
        <f>D27</f>
        <v>47000</v>
      </c>
      <c r="I24" s="27" t="s">
        <v>34</v>
      </c>
      <c r="K24" s="30"/>
      <c r="Q24" s="23"/>
      <c r="R24" s="111"/>
      <c r="S24" s="111"/>
      <c r="U24" s="27"/>
      <c r="V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row>
    <row r="25" spans="1:75" ht="15">
      <c r="A25" s="27"/>
      <c r="B25" s="69"/>
      <c r="C25" s="27" t="s">
        <v>23</v>
      </c>
      <c r="D25" s="62">
        <f>IF(AM18="","",AM18*1000)</f>
        <v>72000</v>
      </c>
      <c r="E25" s="60" t="str">
        <f t="shared" si="0"/>
        <v>psi</v>
      </c>
      <c r="G25" s="67" t="s">
        <v>79</v>
      </c>
      <c r="H25" s="106">
        <f>D18</f>
        <v>78000</v>
      </c>
      <c r="I25" s="27" t="s">
        <v>34</v>
      </c>
      <c r="Q25" s="23"/>
      <c r="R25" s="111"/>
      <c r="S25" s="111"/>
      <c r="U25" s="27"/>
      <c r="V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row>
    <row r="26" spans="1:75" ht="15">
      <c r="A26" s="27"/>
      <c r="B26" s="70"/>
      <c r="C26" s="48" t="s">
        <v>3</v>
      </c>
      <c r="D26" s="65" t="str">
        <f>IF(AN18="","",AN18*1000)</f>
        <v/>
      </c>
      <c r="E26" s="63" t="str">
        <f t="shared" si="0"/>
        <v/>
      </c>
      <c r="G26" s="67" t="s">
        <v>81</v>
      </c>
      <c r="H26" s="106">
        <f>D19</f>
        <v>78000</v>
      </c>
      <c r="I26" s="27" t="s">
        <v>34</v>
      </c>
      <c r="Q26" s="23"/>
      <c r="R26" s="111"/>
      <c r="S26" s="111"/>
      <c r="U26" s="27"/>
      <c r="V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row>
    <row r="27" spans="1:75" ht="15">
      <c r="A27" s="30"/>
      <c r="B27" s="71" t="s">
        <v>80</v>
      </c>
      <c r="C27" s="35"/>
      <c r="D27" s="72">
        <f>IF(AO18="","",AO18*1000)</f>
        <v>47000</v>
      </c>
      <c r="E27" s="37" t="str">
        <f t="shared" si="0"/>
        <v>psi</v>
      </c>
      <c r="G27" s="67" t="s">
        <v>83</v>
      </c>
      <c r="H27" s="224" t="str">
        <f ca="1">[1]!xlv(H31)</f>
        <v>((Fty[L] + Fty[LT] + Fcy[L] + Fcy[LT]) / 4) × ((2 × Fsu) / (Ftu (L) + Ftu[LT]))</v>
      </c>
      <c r="I27" s="224"/>
      <c r="J27" s="224"/>
      <c r="K27" s="224"/>
      <c r="Q27" s="23"/>
      <c r="R27" s="111"/>
      <c r="S27" s="111"/>
      <c r="U27" s="27"/>
      <c r="V27" s="30"/>
      <c r="W27" s="73"/>
      <c r="Y27" s="38"/>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row>
    <row r="28" spans="1:75" ht="15">
      <c r="A28" s="30"/>
      <c r="B28" s="57" t="s">
        <v>82</v>
      </c>
      <c r="C28" s="74" t="s">
        <v>25</v>
      </c>
      <c r="D28" s="58">
        <f>IF(AP18="","",AP18*1000)</f>
        <v>121000</v>
      </c>
      <c r="E28" s="56" t="str">
        <f t="shared" si="0"/>
        <v>psi</v>
      </c>
      <c r="H28" s="224"/>
      <c r="I28" s="224"/>
      <c r="J28" s="224"/>
      <c r="K28" s="224"/>
      <c r="Q28" s="23"/>
      <c r="R28" s="111"/>
      <c r="S28" s="111"/>
      <c r="U28" s="27"/>
      <c r="V28" s="30"/>
      <c r="W28" s="73"/>
      <c r="Y28" s="38"/>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row>
    <row r="29" spans="1:75" ht="14.25" customHeight="1">
      <c r="A29" s="30"/>
      <c r="B29" s="70"/>
      <c r="C29" s="75" t="s">
        <v>26</v>
      </c>
      <c r="D29" s="65">
        <f>IF(AQ18="","",AQ18*1000)</f>
        <v>156000</v>
      </c>
      <c r="E29" s="63" t="str">
        <f t="shared" si="0"/>
        <v>psi</v>
      </c>
      <c r="G29" s="67" t="s">
        <v>83</v>
      </c>
      <c r="H29" s="223" t="str">
        <f>[1]!xln(H31)</f>
        <v>((70000 + 68000 + 69000 + 72000) / 4) × ((2 × 47000) / (78000 + 78000))</v>
      </c>
      <c r="I29" s="223"/>
      <c r="J29" s="223"/>
      <c r="K29" s="223"/>
      <c r="Q29" s="23"/>
      <c r="R29" s="111"/>
      <c r="S29" s="111"/>
      <c r="U29" s="27"/>
      <c r="V29" s="30"/>
      <c r="W29" s="34"/>
      <c r="Y29" s="34"/>
      <c r="Z29" s="34"/>
      <c r="AA29" s="34"/>
      <c r="AB29" s="34"/>
      <c r="AC29" s="76"/>
      <c r="AD29" s="76"/>
      <c r="AE29" s="76"/>
      <c r="AF29" s="76"/>
      <c r="AG29" s="77"/>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row>
    <row r="30" spans="1:75" ht="15">
      <c r="A30" s="30"/>
      <c r="B30" s="57" t="s">
        <v>84</v>
      </c>
      <c r="C30" s="74" t="s">
        <v>25</v>
      </c>
      <c r="D30" s="58">
        <f>IF(AR18="","",AR18*1000)</f>
        <v>102000</v>
      </c>
      <c r="E30" s="56" t="str">
        <f t="shared" si="0"/>
        <v>psi</v>
      </c>
      <c r="F30" s="27"/>
      <c r="G30" s="27"/>
      <c r="H30" s="223"/>
      <c r="I30" s="223"/>
      <c r="J30" s="223"/>
      <c r="K30" s="223"/>
      <c r="Q30" s="23"/>
      <c r="R30" s="111"/>
      <c r="S30" s="111"/>
      <c r="U30" s="27"/>
      <c r="V30" s="30"/>
      <c r="W30" s="38"/>
      <c r="Y30" s="78"/>
      <c r="Z30" s="34"/>
      <c r="AA30" s="34"/>
      <c r="AB30" s="34"/>
      <c r="AC30" s="76"/>
      <c r="AD30" s="76"/>
      <c r="AE30" s="76"/>
      <c r="AF30" s="76"/>
      <c r="AG30" s="77"/>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row>
    <row r="31" spans="1:75" ht="15">
      <c r="A31" s="30"/>
      <c r="B31" s="70"/>
      <c r="C31" s="75" t="s">
        <v>26</v>
      </c>
      <c r="D31" s="65">
        <f>IF(AS18="","",AS18*1000)</f>
        <v>119000</v>
      </c>
      <c r="E31" s="63" t="str">
        <f t="shared" si="0"/>
        <v>psi</v>
      </c>
      <c r="F31" s="27"/>
      <c r="G31" s="67" t="s">
        <v>83</v>
      </c>
      <c r="H31" s="79">
        <f>((H20+H21+H22+H23)/4)*((2*H24)/(H25+H26))</f>
        <v>42028.846153846149</v>
      </c>
      <c r="I31" s="27" t="s">
        <v>34</v>
      </c>
      <c r="J31" s="107"/>
      <c r="K31" s="107"/>
      <c r="Q31" s="23"/>
      <c r="R31" s="111"/>
      <c r="S31" s="111"/>
      <c r="U31" s="27"/>
      <c r="Y31" s="78"/>
      <c r="Z31" s="34"/>
      <c r="AA31" s="34"/>
      <c r="AB31" s="34"/>
      <c r="AC31" s="76"/>
      <c r="AD31" s="76"/>
      <c r="AE31" s="76"/>
      <c r="AF31" s="76"/>
      <c r="AG31" s="77"/>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row>
    <row r="32" spans="1:75" ht="14.25" customHeight="1">
      <c r="A32" s="30"/>
      <c r="B32" s="71" t="s">
        <v>35</v>
      </c>
      <c r="C32" s="35"/>
      <c r="D32" s="72">
        <f>IF(AT18="","",AT18/100)</f>
        <v>0.08</v>
      </c>
      <c r="E32" s="37"/>
      <c r="F32" s="27"/>
      <c r="I32" s="108"/>
      <c r="J32" s="108"/>
      <c r="K32" s="108"/>
      <c r="Q32" s="23"/>
      <c r="R32" s="111"/>
      <c r="S32" s="111"/>
      <c r="U32" s="27"/>
      <c r="Y32" s="78"/>
      <c r="Z32" s="34"/>
      <c r="AA32" s="34"/>
      <c r="AB32" s="34"/>
      <c r="AC32" s="76"/>
      <c r="AD32" s="76"/>
      <c r="AE32" s="76"/>
      <c r="AF32" s="76"/>
      <c r="AG32" s="77"/>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row>
    <row r="33" spans="1:75" ht="15">
      <c r="A33" s="27"/>
      <c r="B33" s="57" t="s">
        <v>85</v>
      </c>
      <c r="C33" s="39" t="s">
        <v>36</v>
      </c>
      <c r="D33" s="58">
        <f>IF(AU18="","",AU18*1000000)</f>
        <v>10300000</v>
      </c>
      <c r="E33" s="56" t="str">
        <f>IF(D33="","","psi")</f>
        <v>psi</v>
      </c>
      <c r="F33" s="27"/>
      <c r="G33" s="27" t="str">
        <f>"Derivation of shear Shape Factor"</f>
        <v>Derivation of shear Shape Factor</v>
      </c>
      <c r="H33" s="108"/>
      <c r="I33" s="108"/>
      <c r="J33" s="108"/>
      <c r="K33" s="108"/>
      <c r="Q33" s="23"/>
      <c r="R33" s="111"/>
      <c r="S33" s="111"/>
      <c r="U33" s="27"/>
      <c r="V33" s="30"/>
      <c r="W33" s="30"/>
      <c r="Y33" s="34"/>
      <c r="Z33" s="34"/>
      <c r="AA33" s="34"/>
      <c r="AB33" s="34"/>
      <c r="AC33" s="76"/>
      <c r="AD33" s="76"/>
      <c r="AE33" s="76"/>
      <c r="AF33" s="76"/>
      <c r="AG33" s="77"/>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row>
    <row r="34" spans="1:75" ht="15">
      <c r="A34" s="27"/>
      <c r="B34" s="64"/>
      <c r="C34" s="48" t="s">
        <v>37</v>
      </c>
      <c r="D34" s="65">
        <f>IF(AV18="","",AV18*1000000)</f>
        <v>10300000</v>
      </c>
      <c r="E34" s="63" t="str">
        <f>IF(D34="","","psi")</f>
        <v>psi</v>
      </c>
      <c r="F34" s="27"/>
      <c r="G34" s="67" t="s">
        <v>92</v>
      </c>
      <c r="H34" s="34">
        <f>BC18</f>
        <v>13</v>
      </c>
      <c r="I34" s="27"/>
      <c r="J34" s="27"/>
      <c r="K34" s="27"/>
      <c r="Q34" s="23"/>
      <c r="R34" s="111"/>
      <c r="S34" s="111"/>
      <c r="U34" s="27"/>
      <c r="Y34" s="34"/>
      <c r="Z34" s="34"/>
      <c r="AA34" s="34"/>
      <c r="AB34" s="34"/>
      <c r="AC34" s="76"/>
      <c r="AD34" s="76"/>
      <c r="AE34" s="76"/>
      <c r="AF34" s="76"/>
      <c r="AG34" s="77"/>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row>
    <row r="35" spans="1:75" ht="15">
      <c r="A35" s="27"/>
      <c r="B35" s="57" t="s">
        <v>86</v>
      </c>
      <c r="C35" s="39" t="s">
        <v>36</v>
      </c>
      <c r="D35" s="58">
        <f>IF(AW18="","",AW18*1000000)</f>
        <v>10500000</v>
      </c>
      <c r="E35" s="56" t="str">
        <f>IF(D35="","","psi")</f>
        <v>psi</v>
      </c>
      <c r="F35" s="27"/>
      <c r="G35" s="67" t="s">
        <v>93</v>
      </c>
      <c r="H35" s="34">
        <f>BD18</f>
        <v>12</v>
      </c>
      <c r="J35" s="27"/>
      <c r="K35" s="27"/>
      <c r="Q35" s="23"/>
      <c r="R35" s="111"/>
      <c r="S35" s="111"/>
      <c r="U35" s="27"/>
      <c r="Y35" s="34"/>
      <c r="Z35" s="34"/>
      <c r="AA35" s="34"/>
      <c r="AB35" s="34"/>
      <c r="AC35" s="76"/>
      <c r="AD35" s="76"/>
      <c r="AE35" s="76"/>
      <c r="AF35" s="76"/>
      <c r="AG35" s="77"/>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row>
    <row r="36" spans="1:75" ht="15">
      <c r="A36" s="27"/>
      <c r="B36" s="64"/>
      <c r="C36" s="48" t="s">
        <v>37</v>
      </c>
      <c r="D36" s="65">
        <f>IF(AX18="","",AX18*1000000)</f>
        <v>10500000</v>
      </c>
      <c r="E36" s="63" t="str">
        <f>IF(D36="","","psi")</f>
        <v>psi</v>
      </c>
      <c r="F36" s="27"/>
      <c r="G36" s="67" t="s">
        <v>94</v>
      </c>
      <c r="H36" s="34">
        <f>BF18</f>
        <v>17</v>
      </c>
      <c r="I36" s="27"/>
      <c r="J36" s="27"/>
      <c r="K36" s="27"/>
      <c r="Q36" s="23"/>
      <c r="R36" s="111"/>
      <c r="S36" s="111"/>
      <c r="U36" s="27"/>
      <c r="Y36" s="34"/>
      <c r="Z36" s="34"/>
      <c r="AA36" s="34"/>
      <c r="AB36" s="34"/>
      <c r="AC36" s="76"/>
      <c r="AD36" s="76"/>
      <c r="AE36" s="76"/>
      <c r="AF36" s="76"/>
      <c r="AG36" s="77"/>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row>
    <row r="37" spans="1:75" ht="15">
      <c r="A37" s="27"/>
      <c r="B37" s="71" t="s">
        <v>16</v>
      </c>
      <c r="C37" s="35"/>
      <c r="D37" s="72">
        <f>IF(AY18="","",AY18*1000000)</f>
        <v>3900000</v>
      </c>
      <c r="E37" s="37" t="str">
        <f>IF(D37="","","psi")</f>
        <v>psi</v>
      </c>
      <c r="F37" s="29"/>
      <c r="G37" s="67" t="s">
        <v>95</v>
      </c>
      <c r="H37" s="34">
        <f>BG18</f>
        <v>15</v>
      </c>
      <c r="I37" s="29"/>
      <c r="J37" s="29"/>
      <c r="K37" s="29"/>
      <c r="Q37" s="23"/>
      <c r="R37" s="111"/>
      <c r="S37" s="111"/>
      <c r="U37" s="38"/>
      <c r="V37" s="27"/>
      <c r="W37" s="27"/>
      <c r="Y37" s="34"/>
      <c r="Z37" s="34"/>
      <c r="AA37" s="34"/>
      <c r="AB37" s="34"/>
      <c r="AC37" s="76"/>
      <c r="AD37" s="76"/>
      <c r="AE37" s="76"/>
      <c r="AF37" s="76"/>
      <c r="AG37" s="77"/>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row>
    <row r="38" spans="1:75" ht="15">
      <c r="A38" s="27"/>
      <c r="B38" s="71" t="s">
        <v>17</v>
      </c>
      <c r="C38" s="35"/>
      <c r="D38" s="72">
        <f>IF(AZ18="","",AZ18)</f>
        <v>0.33</v>
      </c>
      <c r="E38" s="37"/>
      <c r="F38" s="27"/>
      <c r="G38" s="67" t="s">
        <v>96</v>
      </c>
      <c r="H38" s="27" t="str">
        <f>"( "&amp;H34&amp;" + "&amp;H35&amp;" + "&amp;H36&amp;" + "&amp;H37&amp;" ) / 4"</f>
        <v>( 13 + 12 + 17 + 15 ) / 4</v>
      </c>
      <c r="I38" s="27"/>
      <c r="J38" s="27"/>
      <c r="K38" s="27"/>
      <c r="Q38" s="23"/>
      <c r="R38" s="111"/>
      <c r="S38" s="111"/>
      <c r="U38" s="27"/>
      <c r="Y38" s="34"/>
      <c r="Z38" s="34"/>
      <c r="AA38" s="34"/>
      <c r="AB38" s="34"/>
      <c r="AC38" s="76"/>
      <c r="AD38" s="76"/>
      <c r="AE38" s="76"/>
      <c r="AF38" s="76"/>
      <c r="AG38" s="77"/>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row>
    <row r="39" spans="1:75" ht="15">
      <c r="A39" s="27"/>
      <c r="B39" s="30"/>
      <c r="C39" s="30"/>
      <c r="D39" s="30"/>
      <c r="E39" s="30"/>
      <c r="F39" s="27"/>
      <c r="G39" s="67" t="s">
        <v>96</v>
      </c>
      <c r="H39" s="109">
        <f>(H34+H35+H36+H37)/4</f>
        <v>14.25</v>
      </c>
      <c r="I39" s="27"/>
      <c r="J39" s="27"/>
      <c r="K39" s="27"/>
      <c r="Q39" s="23"/>
      <c r="R39" s="111"/>
      <c r="S39" s="111"/>
      <c r="U39" s="27"/>
      <c r="Y39" s="34"/>
      <c r="Z39" s="34"/>
      <c r="AA39" s="34"/>
      <c r="AB39" s="34"/>
      <c r="AC39" s="76"/>
      <c r="AD39" s="76"/>
      <c r="AE39" s="76"/>
      <c r="AF39" s="76"/>
      <c r="AG39" s="77"/>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row>
    <row r="40" spans="1:75">
      <c r="A40" s="27"/>
      <c r="B40" s="30"/>
      <c r="C40" s="30"/>
      <c r="D40" s="30"/>
      <c r="E40" s="30"/>
      <c r="F40" s="27"/>
      <c r="G40" s="67"/>
      <c r="H40" s="109"/>
      <c r="I40" s="27"/>
      <c r="J40" s="27"/>
      <c r="K40" s="27"/>
      <c r="Q40" s="23"/>
      <c r="R40" s="111"/>
      <c r="S40" s="111"/>
      <c r="U40" s="27"/>
      <c r="Y40" s="34"/>
      <c r="Z40" s="34"/>
      <c r="AA40" s="34"/>
      <c r="AB40" s="34"/>
      <c r="AC40" s="76"/>
      <c r="AD40" s="76"/>
      <c r="AE40" s="76"/>
      <c r="AF40" s="76"/>
      <c r="AG40" s="77"/>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row>
    <row r="41" spans="1:75">
      <c r="A41" s="27"/>
      <c r="B41" s="30"/>
      <c r="C41" s="30"/>
      <c r="D41" s="30"/>
      <c r="E41" s="30"/>
      <c r="F41" s="27"/>
      <c r="G41" s="27"/>
      <c r="H41" s="27"/>
      <c r="I41" s="27"/>
      <c r="J41" s="27"/>
      <c r="K41" s="27"/>
      <c r="Q41" s="23"/>
      <c r="R41" s="111"/>
      <c r="S41" s="111"/>
      <c r="U41" s="27"/>
      <c r="Y41" s="34"/>
      <c r="Z41" s="34"/>
      <c r="AA41" s="34"/>
      <c r="AB41" s="34"/>
      <c r="AC41" s="76"/>
      <c r="AD41" s="76"/>
      <c r="AE41" s="76"/>
      <c r="AF41" s="76"/>
      <c r="AG41" s="77"/>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row>
    <row r="42" spans="1:75">
      <c r="A42" s="38"/>
      <c r="B42" s="67" t="s">
        <v>38</v>
      </c>
      <c r="C42" s="81" t="str">
        <f>[1]!xln(C43)</f>
        <v>0.08 - MIN[78000:78000] / (1.05E+07)</v>
      </c>
      <c r="D42" s="27"/>
      <c r="E42" s="27"/>
      <c r="F42" s="27"/>
      <c r="G42" s="27"/>
      <c r="H42" s="38"/>
      <c r="I42" s="38"/>
      <c r="J42" s="38"/>
      <c r="K42" s="38"/>
      <c r="Q42" s="23"/>
      <c r="R42" s="111"/>
      <c r="S42" s="111"/>
      <c r="T42" s="111"/>
      <c r="U42" s="38"/>
      <c r="V42" s="30"/>
      <c r="W42" s="34"/>
      <c r="Y42" s="34"/>
      <c r="Z42" s="34"/>
      <c r="AA42" s="34"/>
      <c r="AB42" s="34"/>
      <c r="AC42" s="76"/>
      <c r="AD42" s="76"/>
      <c r="AE42" s="76"/>
      <c r="AF42" s="76"/>
      <c r="AG42" s="77"/>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row>
    <row r="43" spans="1:75" s="8" customFormat="1">
      <c r="A43" s="38"/>
      <c r="C43" s="34">
        <f>D32-MIN(D18:D19)/D36</f>
        <v>7.2571428571428578E-2</v>
      </c>
      <c r="D43" s="27"/>
      <c r="E43" s="30"/>
      <c r="F43" s="30"/>
      <c r="G43" s="30"/>
      <c r="H43" s="82"/>
      <c r="I43" s="82"/>
      <c r="J43" s="82"/>
      <c r="K43" s="82"/>
      <c r="L43" s="3"/>
      <c r="M43" s="10"/>
      <c r="N43" s="158"/>
      <c r="O43" s="10"/>
      <c r="P43" s="10"/>
      <c r="Q43" s="23"/>
      <c r="R43" s="111"/>
      <c r="S43" s="111"/>
      <c r="T43" s="111"/>
      <c r="U43" s="38"/>
      <c r="V43" s="82"/>
      <c r="W43" s="38"/>
      <c r="Y43" s="34"/>
      <c r="Z43" s="34"/>
      <c r="AA43" s="34"/>
      <c r="AB43" s="34"/>
      <c r="AC43" s="76"/>
      <c r="AD43" s="76"/>
      <c r="AE43" s="76"/>
      <c r="AF43" s="76"/>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row>
    <row r="44" spans="1:75" s="8" customFormat="1">
      <c r="A44" s="27"/>
      <c r="B44" s="67" t="s">
        <v>39</v>
      </c>
      <c r="C44" s="81" t="str">
        <f>[1]!xln(C45)</f>
        <v>(LOG[(0.0726) / 0.002]) / (LOG[78000 / 70000])</v>
      </c>
      <c r="D44" s="27"/>
      <c r="E44" s="30"/>
      <c r="F44" s="30"/>
      <c r="G44" s="30"/>
      <c r="H44" s="82"/>
      <c r="I44" s="82"/>
      <c r="J44" s="82"/>
      <c r="K44" s="82"/>
      <c r="L44" s="3"/>
      <c r="M44" s="10"/>
      <c r="N44" s="158"/>
      <c r="O44" s="10"/>
      <c r="P44" s="10"/>
      <c r="Q44" s="23"/>
      <c r="R44" s="111"/>
      <c r="S44" s="111"/>
      <c r="T44" s="111"/>
      <c r="U44" s="38"/>
      <c r="V44" s="82"/>
      <c r="W44" s="38"/>
      <c r="X44" s="83"/>
      <c r="Y44" s="34"/>
      <c r="Z44" s="34"/>
      <c r="AA44" s="34"/>
      <c r="AB44" s="34"/>
      <c r="AC44" s="76"/>
      <c r="AD44" s="76"/>
      <c r="AE44" s="76"/>
      <c r="AF44" s="76"/>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row>
    <row r="45" spans="1:75" s="8" customFormat="1">
      <c r="A45" s="27"/>
      <c r="C45" s="84">
        <f>(LOG((C43)/0.002))/(LOG(D18/D21))</f>
        <v>33.188292670493112</v>
      </c>
      <c r="D45" s="27"/>
      <c r="E45" s="30"/>
      <c r="F45" s="30"/>
      <c r="G45" s="30"/>
      <c r="H45" s="82"/>
      <c r="I45" s="82"/>
      <c r="J45" s="82"/>
      <c r="K45" s="82"/>
      <c r="L45" s="3"/>
      <c r="M45" s="10"/>
      <c r="N45" s="158"/>
      <c r="O45" s="10"/>
      <c r="P45" s="10"/>
      <c r="Q45" s="23"/>
      <c r="R45" s="111"/>
      <c r="S45" s="111"/>
      <c r="T45" s="111"/>
      <c r="U45" s="38"/>
      <c r="V45" s="82"/>
      <c r="W45" s="34"/>
      <c r="X45" s="67"/>
      <c r="Y45" s="34"/>
      <c r="Z45" s="34"/>
      <c r="AA45" s="34"/>
      <c r="AB45" s="34"/>
      <c r="AC45" s="76"/>
      <c r="AD45" s="76"/>
      <c r="AE45" s="76"/>
      <c r="AF45" s="76"/>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row>
    <row r="46" spans="1:75" s="8" customFormat="1" ht="15">
      <c r="A46" s="27"/>
      <c r="B46" s="67" t="s">
        <v>91</v>
      </c>
      <c r="C46" s="224" t="str">
        <f>[1]!xln(C48)</f>
        <v>6 / (0.08²) × (1 / 3 × (78000 / (1.03E+07))² + 0.0726 × ((33.2 + 1) / (33.2 + 2)) × (78000⁽³³·²⁺¹⁾) / ((1.03E+07) × 78000³³·²) + (33.2 / (2 × 33.2 + 1)) × 0.0726² × (78000 / 78000)⁽²ˣ³³·²⁾) - 2</v>
      </c>
      <c r="D46" s="224"/>
      <c r="E46" s="224"/>
      <c r="F46" s="224"/>
      <c r="G46" s="224"/>
      <c r="H46" s="224"/>
      <c r="I46" s="224"/>
      <c r="J46" s="224"/>
      <c r="K46" s="224"/>
      <c r="L46" s="3"/>
      <c r="M46" s="10"/>
      <c r="N46" s="158"/>
      <c r="O46" s="10"/>
      <c r="P46" s="10"/>
      <c r="Q46" s="23"/>
      <c r="R46" s="111"/>
      <c r="S46" s="111"/>
      <c r="T46" s="111"/>
      <c r="U46" s="38"/>
      <c r="V46" s="82"/>
      <c r="W46" s="76"/>
      <c r="X46" s="76"/>
      <c r="Y46" s="76"/>
      <c r="Z46" s="76"/>
      <c r="AA46" s="76"/>
      <c r="AB46" s="76"/>
      <c r="AC46" s="76"/>
      <c r="AD46" s="76"/>
      <c r="AE46" s="76"/>
      <c r="AF46" s="76"/>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row>
    <row r="47" spans="1:75" s="8" customFormat="1">
      <c r="A47" s="27"/>
      <c r="C47" s="224"/>
      <c r="D47" s="224"/>
      <c r="E47" s="224"/>
      <c r="F47" s="224"/>
      <c r="G47" s="224"/>
      <c r="H47" s="224"/>
      <c r="I47" s="224"/>
      <c r="J47" s="224"/>
      <c r="K47" s="224"/>
      <c r="L47" s="3"/>
      <c r="M47" s="10"/>
      <c r="N47" s="158"/>
      <c r="O47" s="10"/>
      <c r="P47" s="10"/>
      <c r="Q47" s="23"/>
      <c r="R47" s="111"/>
      <c r="S47" s="111"/>
      <c r="T47" s="111"/>
      <c r="U47" s="38"/>
      <c r="V47" s="82"/>
      <c r="W47" s="76"/>
      <c r="X47" s="76"/>
      <c r="Y47" s="76"/>
      <c r="Z47" s="76"/>
      <c r="AA47" s="76"/>
      <c r="AB47" s="76"/>
      <c r="AC47" s="76"/>
      <c r="AD47" s="76"/>
      <c r="AE47" s="76"/>
      <c r="AF47" s="76"/>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row>
    <row r="48" spans="1:75" s="8" customFormat="1">
      <c r="A48" s="27"/>
      <c r="B48" s="27"/>
      <c r="C48" s="85">
        <f>6/(D32^2)*(1/3*(D18/D33)^2+C43*((C45+1)/(C45+2))*(D18^(C45+1))/(D33*D18^C45)+(C45/(2*C45+1))*C43^2*(D18/D18)^(2*C45))-2</f>
        <v>0.95058496382157065</v>
      </c>
      <c r="D48" s="27"/>
      <c r="E48" s="27"/>
      <c r="F48" s="27"/>
      <c r="G48" s="27"/>
      <c r="H48" s="27"/>
      <c r="I48" s="27"/>
      <c r="J48" s="27"/>
      <c r="K48" s="27"/>
      <c r="L48" s="3"/>
      <c r="M48" s="10"/>
      <c r="N48" s="158"/>
      <c r="O48" s="10"/>
      <c r="P48" s="10"/>
      <c r="Q48" s="23"/>
      <c r="R48" s="111"/>
      <c r="S48" s="111"/>
      <c r="T48" s="111"/>
      <c r="U48" s="38"/>
      <c r="V48" s="82"/>
      <c r="W48" s="76"/>
      <c r="X48" s="76"/>
      <c r="Y48" s="76"/>
      <c r="Z48" s="76"/>
      <c r="AA48" s="76"/>
      <c r="AB48" s="76"/>
      <c r="AC48" s="76"/>
      <c r="AD48" s="76"/>
      <c r="AE48" s="76"/>
      <c r="AF48" s="76"/>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row>
    <row r="49" spans="1:33" s="8" customFormat="1">
      <c r="A49" s="27"/>
      <c r="B49" s="67" t="s">
        <v>90</v>
      </c>
      <c r="C49" s="81" t="str">
        <f>[1]!xln(C50)</f>
        <v>0.951 × 78000</v>
      </c>
      <c r="D49" s="27"/>
      <c r="G49" s="38"/>
      <c r="H49" s="27"/>
      <c r="I49" s="27"/>
      <c r="J49" s="27"/>
      <c r="K49" s="27"/>
      <c r="L49" s="3"/>
      <c r="M49" s="10"/>
      <c r="N49" s="158"/>
      <c r="O49" s="10"/>
      <c r="P49" s="10"/>
      <c r="Q49" s="23"/>
      <c r="R49" s="111"/>
      <c r="S49" s="111"/>
      <c r="T49" s="111"/>
      <c r="U49" s="23"/>
      <c r="W49" s="86"/>
      <c r="X49" s="86"/>
      <c r="Y49" s="86"/>
      <c r="Z49" s="86"/>
      <c r="AA49" s="86"/>
      <c r="AB49" s="86"/>
      <c r="AC49" s="86"/>
      <c r="AD49" s="86"/>
      <c r="AE49" s="86"/>
      <c r="AF49" s="86"/>
    </row>
    <row r="50" spans="1:33" s="8" customFormat="1">
      <c r="A50" s="27"/>
      <c r="C50" s="105">
        <f>C48*D18</f>
        <v>74145.627178082505</v>
      </c>
      <c r="D50" s="81" t="s">
        <v>34</v>
      </c>
      <c r="E50" s="27"/>
      <c r="F50" s="30"/>
      <c r="G50" s="30"/>
      <c r="H50" s="27"/>
      <c r="I50" s="27"/>
      <c r="J50" s="27"/>
      <c r="K50" s="27"/>
      <c r="L50" s="3"/>
      <c r="M50" s="10"/>
      <c r="N50" s="158"/>
      <c r="O50" s="10"/>
      <c r="P50" s="10"/>
      <c r="Q50" s="23"/>
      <c r="R50" s="111"/>
      <c r="S50" s="111"/>
      <c r="T50" s="111"/>
      <c r="U50" s="23"/>
      <c r="W50" s="86"/>
      <c r="X50" s="86"/>
      <c r="Y50" s="86"/>
      <c r="Z50" s="86"/>
      <c r="AA50" s="86"/>
      <c r="AB50" s="86"/>
      <c r="AC50" s="86"/>
      <c r="AD50" s="86"/>
      <c r="AE50" s="86"/>
      <c r="AF50" s="86"/>
    </row>
    <row r="51" spans="1:33" s="8" customFormat="1">
      <c r="A51" s="27"/>
      <c r="K51" s="27"/>
      <c r="L51" s="3"/>
      <c r="M51" s="10"/>
      <c r="N51" s="158"/>
      <c r="O51" s="10"/>
      <c r="P51" s="10"/>
      <c r="Q51" s="23"/>
      <c r="R51" s="111"/>
      <c r="S51" s="111"/>
      <c r="T51" s="111"/>
      <c r="U51" s="23"/>
      <c r="W51" s="86"/>
      <c r="X51" s="86"/>
      <c r="Y51" s="86"/>
      <c r="Z51" s="86"/>
      <c r="AA51" s="86"/>
      <c r="AB51" s="86"/>
      <c r="AC51" s="86"/>
      <c r="AD51" s="86"/>
      <c r="AE51" s="86"/>
      <c r="AF51" s="86"/>
    </row>
    <row r="52" spans="1:33" s="8" customFormat="1">
      <c r="A52" s="27"/>
      <c r="B52" s="27" t="s">
        <v>41</v>
      </c>
      <c r="C52" s="34"/>
      <c r="D52" s="55"/>
      <c r="E52" s="27"/>
      <c r="F52" s="27"/>
      <c r="G52" s="27"/>
      <c r="H52" s="27"/>
      <c r="I52" s="27"/>
      <c r="J52" s="27"/>
      <c r="K52" s="27"/>
      <c r="L52" s="3"/>
      <c r="M52" s="10"/>
      <c r="N52" s="158"/>
      <c r="O52" s="10"/>
      <c r="P52" s="10"/>
      <c r="Q52" s="23"/>
      <c r="R52" s="111"/>
      <c r="S52" s="111"/>
      <c r="T52" s="111"/>
      <c r="U52" s="23"/>
      <c r="W52" s="86"/>
      <c r="X52" s="86"/>
      <c r="Y52" s="86"/>
      <c r="Z52" s="86"/>
      <c r="AA52" s="86"/>
      <c r="AB52" s="86"/>
      <c r="AC52" s="86"/>
      <c r="AD52" s="86"/>
      <c r="AE52" s="86"/>
      <c r="AF52" s="86"/>
    </row>
    <row r="53" spans="1:33" s="8" customFormat="1">
      <c r="A53" s="27"/>
      <c r="B53" s="34" t="s">
        <v>304</v>
      </c>
      <c r="C53" s="34"/>
      <c r="K53" s="27"/>
      <c r="L53" s="3"/>
      <c r="M53" s="10"/>
      <c r="N53" s="158"/>
      <c r="O53" s="10"/>
      <c r="P53" s="10"/>
      <c r="Q53" s="23"/>
      <c r="R53" s="111"/>
      <c r="S53" s="111"/>
      <c r="T53" s="111"/>
      <c r="U53" s="23"/>
      <c r="W53" s="86"/>
      <c r="X53" s="86"/>
      <c r="Y53" s="86"/>
      <c r="Z53" s="86"/>
      <c r="AA53" s="86"/>
      <c r="AB53" s="86"/>
      <c r="AC53" s="86"/>
      <c r="AD53" s="86"/>
      <c r="AE53" s="86"/>
      <c r="AF53" s="86"/>
    </row>
    <row r="54" spans="1:33" s="8" customFormat="1">
      <c r="A54" s="27"/>
      <c r="B54" s="27" t="s">
        <v>42</v>
      </c>
      <c r="C54" s="27"/>
      <c r="D54" s="27"/>
      <c r="E54" s="27"/>
      <c r="F54" s="27" t="s">
        <v>43</v>
      </c>
      <c r="G54" s="27"/>
      <c r="H54" s="27"/>
      <c r="I54" s="27"/>
      <c r="J54" s="27"/>
      <c r="K54" s="27"/>
      <c r="L54" s="3"/>
      <c r="M54" s="10"/>
      <c r="N54" s="158"/>
      <c r="O54" s="10"/>
      <c r="P54" s="10"/>
      <c r="Q54" s="23"/>
      <c r="R54" s="111"/>
      <c r="S54" s="111"/>
      <c r="T54" s="111"/>
      <c r="U54" s="23"/>
      <c r="W54" s="86"/>
      <c r="X54" s="86"/>
      <c r="Y54" s="86"/>
      <c r="Z54" s="86"/>
      <c r="AA54" s="86"/>
      <c r="AB54" s="86"/>
      <c r="AC54" s="86"/>
      <c r="AD54" s="86"/>
      <c r="AE54" s="86"/>
      <c r="AF54" s="86"/>
    </row>
    <row r="55" spans="1:33" s="8" customFormat="1">
      <c r="A55" s="27"/>
      <c r="B55" s="67" t="s">
        <v>40</v>
      </c>
      <c r="C55" s="34">
        <v>1.5</v>
      </c>
      <c r="D55" s="34"/>
      <c r="E55" s="27"/>
      <c r="F55" s="67" t="s">
        <v>40</v>
      </c>
      <c r="G55" s="34">
        <v>1.7</v>
      </c>
      <c r="H55" s="27"/>
      <c r="I55" s="27"/>
      <c r="J55" s="27"/>
      <c r="K55" s="27"/>
      <c r="L55" s="3"/>
      <c r="M55" s="10"/>
      <c r="N55" s="158"/>
      <c r="O55" s="10"/>
      <c r="P55" s="10"/>
      <c r="Q55" s="23"/>
      <c r="R55" s="111"/>
      <c r="S55" s="111"/>
      <c r="T55" s="111"/>
      <c r="U55" s="23"/>
      <c r="W55" s="86"/>
      <c r="X55" s="86"/>
      <c r="Y55" s="86"/>
      <c r="Z55" s="86"/>
      <c r="AA55" s="86"/>
      <c r="AB55" s="86"/>
      <c r="AC55" s="86"/>
      <c r="AD55" s="86"/>
      <c r="AE55" s="86"/>
      <c r="AF55" s="86"/>
    </row>
    <row r="56" spans="1:33" s="8" customFormat="1" ht="15">
      <c r="A56" s="27"/>
      <c r="B56" s="67" t="s">
        <v>87</v>
      </c>
      <c r="C56" s="81" t="str">
        <f>[1]!xln(C57)</f>
        <v>78000 + (1.5 - 1) × 74146</v>
      </c>
      <c r="E56" s="27"/>
      <c r="F56" s="67" t="s">
        <v>87</v>
      </c>
      <c r="G56" s="81" t="str">
        <f>[1]!xln(G57)</f>
        <v>78000 + (1.7 - 1) × 74146</v>
      </c>
      <c r="I56" s="27"/>
      <c r="J56" s="27"/>
      <c r="K56" s="27"/>
      <c r="L56" s="3"/>
      <c r="M56" s="10"/>
      <c r="N56" s="158"/>
      <c r="O56" s="10"/>
      <c r="P56" s="10"/>
      <c r="Q56" s="23"/>
      <c r="R56" s="111"/>
      <c r="S56" s="111"/>
      <c r="T56" s="111"/>
      <c r="U56" s="23"/>
      <c r="W56" s="86"/>
      <c r="X56" s="86"/>
      <c r="Y56" s="86"/>
      <c r="Z56" s="86"/>
      <c r="AA56" s="86"/>
      <c r="AB56" s="86"/>
      <c r="AC56" s="86"/>
      <c r="AD56" s="86"/>
      <c r="AE56" s="86"/>
      <c r="AF56" s="86"/>
    </row>
    <row r="57" spans="1:33" s="8" customFormat="1">
      <c r="A57" s="27"/>
      <c r="C57" s="80">
        <f>D18+(C55-1)*C50</f>
        <v>115072.81358904125</v>
      </c>
      <c r="D57" s="27" t="s">
        <v>34</v>
      </c>
      <c r="E57" s="27"/>
      <c r="F57" s="27"/>
      <c r="G57" s="80">
        <f>D18+(G55-1)*C50</f>
        <v>129901.93902465775</v>
      </c>
      <c r="H57" s="27" t="s">
        <v>34</v>
      </c>
      <c r="I57" s="27"/>
      <c r="J57" s="27"/>
      <c r="K57" s="27"/>
      <c r="L57" s="18"/>
      <c r="M57" s="10"/>
      <c r="N57" s="158"/>
      <c r="O57" s="10"/>
      <c r="P57" s="10"/>
      <c r="Q57" s="23"/>
      <c r="R57" s="111"/>
      <c r="S57" s="111"/>
      <c r="T57" s="111"/>
      <c r="U57" s="23"/>
      <c r="W57" s="86"/>
      <c r="X57" s="86"/>
      <c r="Y57" s="86"/>
      <c r="Z57" s="86"/>
      <c r="AA57" s="86"/>
      <c r="AB57" s="86"/>
      <c r="AC57" s="86"/>
      <c r="AD57" s="86"/>
      <c r="AE57" s="86"/>
      <c r="AF57" s="86"/>
    </row>
    <row r="58" spans="1:33" s="8" customFormat="1">
      <c r="A58" s="27"/>
      <c r="C58" s="80"/>
      <c r="D58" s="27"/>
      <c r="E58" s="27"/>
      <c r="F58" s="27"/>
      <c r="G58" s="80"/>
      <c r="H58" s="27"/>
      <c r="I58" s="27"/>
      <c r="J58" s="27"/>
      <c r="K58" s="27"/>
      <c r="L58" s="18"/>
      <c r="M58" s="10"/>
      <c r="N58" s="158"/>
      <c r="O58" s="10"/>
      <c r="P58" s="10"/>
      <c r="Q58" s="23"/>
      <c r="R58" s="111"/>
      <c r="S58" s="111"/>
      <c r="T58" s="111"/>
      <c r="U58" s="23"/>
      <c r="W58" s="86"/>
      <c r="X58" s="86"/>
      <c r="Y58" s="86"/>
      <c r="Z58" s="86"/>
      <c r="AA58" s="86"/>
      <c r="AB58" s="86"/>
      <c r="AC58" s="86"/>
      <c r="AD58" s="86"/>
      <c r="AE58" s="86"/>
      <c r="AF58" s="86"/>
    </row>
    <row r="59" spans="1:33" s="8" customFormat="1">
      <c r="A59" s="27"/>
      <c r="B59" s="193"/>
      <c r="C59" s="80"/>
      <c r="D59" s="28"/>
      <c r="E59" s="28"/>
      <c r="F59" s="194" t="s">
        <v>276</v>
      </c>
      <c r="G59" s="80"/>
      <c r="H59" s="28"/>
      <c r="I59" s="28"/>
      <c r="J59" s="28"/>
      <c r="K59" s="27"/>
      <c r="L59" s="18"/>
      <c r="M59" s="10"/>
      <c r="N59" s="158"/>
      <c r="O59" s="10"/>
      <c r="P59" s="10"/>
      <c r="Q59" s="23"/>
      <c r="R59" s="111"/>
      <c r="S59" s="111"/>
      <c r="T59" s="111"/>
      <c r="U59" s="23"/>
      <c r="W59" s="86"/>
      <c r="X59" s="86"/>
      <c r="Y59" s="86"/>
      <c r="Z59" s="86"/>
      <c r="AA59" s="86"/>
      <c r="AB59" s="86"/>
      <c r="AC59" s="86"/>
      <c r="AD59" s="86"/>
      <c r="AE59" s="86"/>
      <c r="AF59" s="86"/>
    </row>
    <row r="60" spans="1:33" s="8" customFormat="1">
      <c r="A60" s="27"/>
      <c r="B60" s="28"/>
      <c r="C60" s="28"/>
      <c r="D60" s="28"/>
      <c r="E60" s="28"/>
      <c r="F60" s="204" t="s">
        <v>292</v>
      </c>
      <c r="G60" s="28"/>
      <c r="H60" s="28"/>
      <c r="I60" s="28"/>
      <c r="J60" s="28"/>
      <c r="K60" s="27"/>
      <c r="L60" s="18"/>
      <c r="M60" s="10"/>
      <c r="N60" s="158"/>
      <c r="O60" s="10"/>
      <c r="P60" s="10"/>
      <c r="Q60" s="23"/>
      <c r="R60" s="111"/>
      <c r="S60" s="111"/>
      <c r="T60" s="111"/>
      <c r="U60" s="23"/>
      <c r="W60" s="86"/>
      <c r="X60" s="86"/>
      <c r="Y60" s="86"/>
      <c r="Z60" s="86"/>
      <c r="AA60" s="86"/>
      <c r="AB60" s="86"/>
      <c r="AF60" s="30"/>
      <c r="AG60" s="30"/>
    </row>
    <row r="61" spans="1:33" s="8" customFormat="1">
      <c r="A61" s="146"/>
      <c r="B61" s="141"/>
      <c r="C61" s="141"/>
      <c r="D61" s="141"/>
      <c r="E61" s="13" t="s">
        <v>47</v>
      </c>
      <c r="F61" s="14" t="str">
        <f>$C$1</f>
        <v>R. Abbott</v>
      </c>
      <c r="G61" s="15"/>
      <c r="H61" s="16"/>
      <c r="I61" s="13" t="s">
        <v>53</v>
      </c>
      <c r="J61" s="17" t="str">
        <f>$G$2</f>
        <v>AA-SM-000-001</v>
      </c>
      <c r="K61" s="16"/>
      <c r="L61" s="18"/>
      <c r="M61" s="10"/>
      <c r="N61" s="158"/>
      <c r="O61" s="10"/>
      <c r="P61" s="10"/>
      <c r="Q61" s="23"/>
      <c r="R61" s="111"/>
      <c r="S61" s="111"/>
      <c r="T61" s="111"/>
      <c r="U61" s="23"/>
      <c r="W61" s="86"/>
      <c r="X61" s="86"/>
      <c r="Y61" s="86"/>
      <c r="Z61" s="86"/>
      <c r="AA61" s="86"/>
      <c r="AB61" s="86"/>
      <c r="AF61" s="30"/>
      <c r="AG61" s="30"/>
    </row>
    <row r="62" spans="1:33" s="8" customFormat="1">
      <c r="A62" s="141"/>
      <c r="B62" s="141"/>
      <c r="C62" s="141"/>
      <c r="D62" s="141"/>
      <c r="E62" s="13" t="s">
        <v>49</v>
      </c>
      <c r="F62" s="16" t="str">
        <f>$C$2</f>
        <v xml:space="preserve"> </v>
      </c>
      <c r="G62" s="15"/>
      <c r="H62" s="16"/>
      <c r="I62" s="13" t="s">
        <v>54</v>
      </c>
      <c r="J62" s="16" t="str">
        <f>$G$3</f>
        <v>C</v>
      </c>
      <c r="K62" s="16"/>
      <c r="L62" s="18"/>
      <c r="M62" s="10">
        <v>1</v>
      </c>
      <c r="N62" s="158"/>
      <c r="O62" s="10"/>
      <c r="P62" s="10"/>
      <c r="Q62" s="23"/>
      <c r="R62" s="111"/>
      <c r="S62" s="111"/>
      <c r="T62" s="111"/>
      <c r="U62" s="23"/>
      <c r="W62" s="86"/>
      <c r="X62" s="86"/>
      <c r="Y62" s="86"/>
      <c r="Z62" s="86"/>
      <c r="AA62" s="86"/>
      <c r="AB62" s="86"/>
      <c r="AF62" s="30"/>
      <c r="AG62" s="30"/>
    </row>
    <row r="63" spans="1:33" s="8" customFormat="1">
      <c r="A63" s="141"/>
      <c r="B63" s="141"/>
      <c r="C63" s="141"/>
      <c r="D63" s="141"/>
      <c r="E63" s="13" t="s">
        <v>0</v>
      </c>
      <c r="F63" s="16" t="str">
        <f>$C$3</f>
        <v>Jul-10</v>
      </c>
      <c r="G63" s="15"/>
      <c r="H63" s="16"/>
      <c r="I63" s="13" t="s">
        <v>55</v>
      </c>
      <c r="J63" s="14" t="str">
        <f>L63&amp;" of "&amp;$G$1</f>
        <v>2 of 1</v>
      </c>
      <c r="K63" s="16"/>
      <c r="L63" s="18">
        <f>SUM($M$1:M62)</f>
        <v>2</v>
      </c>
      <c r="M63" s="10"/>
      <c r="N63" s="158"/>
      <c r="O63" s="10"/>
      <c r="P63" s="10"/>
      <c r="Q63" s="23"/>
      <c r="R63" s="111"/>
      <c r="S63" s="111"/>
      <c r="T63" s="111"/>
      <c r="U63" s="23"/>
      <c r="W63" s="86"/>
      <c r="X63" s="86"/>
      <c r="Y63" s="86"/>
      <c r="Z63" s="86"/>
      <c r="AA63" s="86"/>
      <c r="AB63" s="86"/>
      <c r="AF63" s="30"/>
      <c r="AG63" s="30"/>
    </row>
    <row r="64" spans="1:33" s="8" customFormat="1">
      <c r="A64" s="3"/>
      <c r="B64" s="3"/>
      <c r="C64" s="3"/>
      <c r="D64" s="3"/>
      <c r="E64" s="142" t="s">
        <v>291</v>
      </c>
      <c r="F64" s="147" t="str">
        <f>$C$5</f>
        <v>STANDARD SPREADSHEET METHOD</v>
      </c>
      <c r="G64" s="15"/>
      <c r="H64" s="15"/>
      <c r="I64" s="15"/>
      <c r="J64" s="15"/>
      <c r="K64" s="15"/>
      <c r="L64" s="18"/>
      <c r="M64" s="10"/>
      <c r="N64" s="158"/>
      <c r="O64" s="10"/>
      <c r="P64" s="10"/>
      <c r="Q64" s="23"/>
      <c r="R64" s="111"/>
      <c r="S64" s="111"/>
      <c r="T64" s="111"/>
      <c r="U64" s="23"/>
      <c r="W64" s="86"/>
      <c r="X64" s="86"/>
      <c r="Y64" s="86"/>
      <c r="Z64" s="86"/>
      <c r="AA64" s="86"/>
      <c r="AB64" s="86"/>
      <c r="AF64" s="30"/>
      <c r="AG64" s="30"/>
    </row>
    <row r="65" spans="1:87" s="8" customFormat="1" ht="15.6">
      <c r="A65" s="27"/>
      <c r="B65" s="26" t="str">
        <f>$G$4</f>
        <v>ALUMINUM MATERIAL DATA</v>
      </c>
      <c r="C65" s="27"/>
      <c r="D65" s="27"/>
      <c r="E65" s="27"/>
      <c r="F65" s="27"/>
      <c r="G65" s="27"/>
      <c r="H65" s="27"/>
      <c r="I65" s="27"/>
      <c r="J65" s="27"/>
      <c r="K65" s="27"/>
      <c r="L65" s="18"/>
      <c r="M65" s="10"/>
      <c r="N65" s="158"/>
      <c r="O65" s="10"/>
      <c r="P65" s="10"/>
      <c r="Q65" s="23"/>
      <c r="R65" s="111"/>
      <c r="S65" s="111"/>
      <c r="T65" s="111"/>
      <c r="U65" s="23"/>
      <c r="W65" s="86"/>
      <c r="X65" s="86"/>
      <c r="Y65" s="86"/>
      <c r="Z65" s="86"/>
      <c r="AA65" s="86"/>
      <c r="AB65" s="86"/>
      <c r="AF65" s="30"/>
      <c r="AG65" s="30"/>
    </row>
    <row r="66" spans="1:87" s="8" customFormat="1">
      <c r="A66" s="27"/>
      <c r="B66" s="225" t="s">
        <v>296</v>
      </c>
      <c r="C66" s="225"/>
      <c r="D66" s="27"/>
      <c r="E66" s="27"/>
      <c r="F66" s="27"/>
      <c r="G66" s="27"/>
      <c r="H66" s="27"/>
      <c r="I66" s="27"/>
      <c r="J66" s="27"/>
      <c r="K66" s="27"/>
      <c r="L66" s="18"/>
      <c r="M66" s="10"/>
      <c r="N66" s="158"/>
      <c r="O66" s="10"/>
      <c r="P66" s="10"/>
      <c r="Q66" s="23"/>
      <c r="R66" s="111"/>
      <c r="S66" s="111"/>
      <c r="T66" s="111"/>
      <c r="U66" s="23"/>
      <c r="W66" s="86"/>
      <c r="X66" s="86"/>
      <c r="Y66" s="86"/>
      <c r="Z66" s="86"/>
      <c r="AA66" s="86"/>
      <c r="AB66" s="86"/>
      <c r="AC66" s="86"/>
      <c r="AD66" s="86"/>
      <c r="AE66" s="86"/>
      <c r="AF66" s="86"/>
    </row>
    <row r="67" spans="1:87" s="8" customFormat="1">
      <c r="A67" s="27"/>
      <c r="B67" s="27"/>
      <c r="C67" s="27"/>
      <c r="D67" s="27"/>
      <c r="E67" s="27"/>
      <c r="F67" s="27"/>
      <c r="G67" s="27"/>
      <c r="H67" s="27"/>
      <c r="I67" s="27"/>
      <c r="J67" s="27"/>
      <c r="K67" s="27"/>
      <c r="L67" s="18"/>
      <c r="M67" s="10"/>
      <c r="N67" s="158"/>
      <c r="O67" s="10"/>
      <c r="P67" s="10"/>
      <c r="Q67" s="23"/>
      <c r="R67" s="111"/>
      <c r="S67" s="111"/>
      <c r="T67" s="111"/>
      <c r="U67" s="23"/>
      <c r="W67" s="86"/>
      <c r="X67" s="86"/>
      <c r="Y67" s="86"/>
      <c r="Z67" s="86"/>
      <c r="AA67" s="86"/>
      <c r="AB67" s="86"/>
      <c r="AC67" s="86"/>
      <c r="AD67" s="86"/>
      <c r="AE67" s="86"/>
      <c r="AF67" s="86"/>
    </row>
    <row r="68" spans="1:87">
      <c r="A68" s="87"/>
      <c r="G68" s="30"/>
      <c r="H68" s="30"/>
      <c r="I68" s="30"/>
      <c r="J68" s="30"/>
      <c r="K68" s="30"/>
      <c r="L68" s="88"/>
      <c r="M68" s="89"/>
      <c r="N68" s="159"/>
      <c r="O68" s="89"/>
      <c r="P68" s="89"/>
      <c r="Q68" s="166"/>
      <c r="R68" s="89"/>
      <c r="S68" s="89"/>
      <c r="T68" s="89"/>
      <c r="U68" s="90"/>
      <c r="V68" s="90"/>
      <c r="W68" s="90"/>
      <c r="Y68" s="23"/>
      <c r="Z68" s="19"/>
    </row>
    <row r="69" spans="1:87">
      <c r="A69" s="87"/>
      <c r="G69" s="30"/>
      <c r="H69" s="30"/>
      <c r="I69" s="30"/>
      <c r="J69" s="30"/>
      <c r="K69" s="30"/>
      <c r="L69" s="19"/>
      <c r="M69" s="91"/>
      <c r="N69" s="112"/>
      <c r="O69" s="91"/>
      <c r="P69" s="91"/>
      <c r="Q69" s="11"/>
      <c r="V69" s="19"/>
      <c r="W69" s="19"/>
      <c r="Y69" s="23"/>
      <c r="Z69" s="23"/>
      <c r="AB69" s="8" t="s">
        <v>6</v>
      </c>
      <c r="AD69" s="8" t="s">
        <v>69</v>
      </c>
      <c r="AF69" s="8"/>
      <c r="AG69" s="8"/>
      <c r="AH69" s="8"/>
      <c r="AI69" s="8"/>
      <c r="AJ69" s="8"/>
      <c r="AL69" s="19"/>
      <c r="AN69" s="23"/>
      <c r="AO69" s="23"/>
      <c r="AQ69" s="8" t="s">
        <v>6</v>
      </c>
      <c r="AS69" s="8" t="s">
        <v>69</v>
      </c>
      <c r="AU69" s="8"/>
      <c r="AV69" s="8"/>
      <c r="AW69" s="8"/>
      <c r="AX69" s="8"/>
      <c r="AY69" s="8"/>
      <c r="BD69" s="19"/>
      <c r="BF69" s="23"/>
      <c r="BG69" s="23"/>
      <c r="BI69" s="8" t="s">
        <v>6</v>
      </c>
      <c r="BK69" s="8" t="s">
        <v>69</v>
      </c>
      <c r="BM69" s="8"/>
      <c r="BN69" s="8"/>
      <c r="BO69" s="8"/>
      <c r="BP69" s="8"/>
      <c r="BQ69" s="8"/>
      <c r="BS69" s="19"/>
      <c r="BU69" s="23"/>
      <c r="BV69" s="23"/>
      <c r="BX69" s="8" t="s">
        <v>6</v>
      </c>
      <c r="BZ69" s="8" t="s">
        <v>69</v>
      </c>
      <c r="CB69" s="8"/>
      <c r="CC69" s="8"/>
      <c r="CD69" s="8"/>
      <c r="CE69" s="8"/>
      <c r="CF69" s="8"/>
    </row>
    <row r="70" spans="1:87">
      <c r="A70" s="30"/>
      <c r="G70" s="30"/>
      <c r="H70" s="30"/>
      <c r="I70" s="30"/>
      <c r="J70" s="30"/>
      <c r="K70" s="30"/>
      <c r="L70" s="9"/>
      <c r="M70" s="91"/>
      <c r="N70" s="112"/>
      <c r="O70" s="91"/>
      <c r="P70" s="91"/>
      <c r="Q70" s="11"/>
      <c r="U70" s="9"/>
      <c r="Y70" s="23"/>
      <c r="Z70" s="23"/>
      <c r="AB70" s="8" t="s">
        <v>67</v>
      </c>
      <c r="AC70" s="8" t="s">
        <v>66</v>
      </c>
      <c r="AD70" s="8" t="s">
        <v>65</v>
      </c>
      <c r="AF70" s="8"/>
      <c r="AG70" s="8"/>
      <c r="AH70" s="8"/>
      <c r="AI70" s="8"/>
      <c r="AJ70" s="8"/>
      <c r="AK70" s="8"/>
      <c r="AN70" s="23"/>
      <c r="AO70" s="23"/>
      <c r="AQ70" s="8" t="s">
        <v>67</v>
      </c>
      <c r="AR70" s="8" t="s">
        <v>66</v>
      </c>
      <c r="AS70" s="8" t="s">
        <v>65</v>
      </c>
      <c r="AU70" s="8"/>
      <c r="AV70" s="8"/>
      <c r="AW70" s="8"/>
      <c r="AX70" s="8"/>
      <c r="AY70" s="8"/>
      <c r="BF70" s="23"/>
      <c r="BG70" s="23"/>
      <c r="BI70" s="8" t="s">
        <v>67</v>
      </c>
      <c r="BJ70" s="8" t="s">
        <v>66</v>
      </c>
      <c r="BK70" s="8" t="s">
        <v>65</v>
      </c>
      <c r="BM70" s="8"/>
      <c r="BN70" s="8"/>
      <c r="BO70" s="8"/>
      <c r="BP70" s="8"/>
      <c r="BQ70" s="8"/>
      <c r="BR70" s="8"/>
      <c r="BU70" s="23"/>
      <c r="BV70" s="23"/>
      <c r="BX70" s="8" t="s">
        <v>67</v>
      </c>
      <c r="BY70" s="8" t="s">
        <v>66</v>
      </c>
      <c r="BZ70" s="8" t="s">
        <v>65</v>
      </c>
      <c r="CB70" s="8"/>
      <c r="CC70" s="8"/>
      <c r="CD70" s="8"/>
      <c r="CE70" s="8"/>
      <c r="CF70" s="8"/>
    </row>
    <row r="71" spans="1:87">
      <c r="A71" s="30"/>
      <c r="G71" s="30"/>
      <c r="H71" s="30"/>
      <c r="I71" s="30"/>
      <c r="J71" s="30"/>
      <c r="K71" s="30"/>
      <c r="L71" s="9"/>
      <c r="M71" s="91"/>
      <c r="N71" s="112"/>
      <c r="O71" s="91"/>
      <c r="P71" s="91"/>
      <c r="Q71" s="11"/>
      <c r="U71" s="9"/>
      <c r="Y71" s="23"/>
      <c r="Z71" s="23"/>
      <c r="AB71" s="8" t="s">
        <v>63</v>
      </c>
      <c r="AC71" s="8"/>
      <c r="AD71" s="8" t="s">
        <v>62</v>
      </c>
      <c r="AF71" s="8"/>
      <c r="AG71" s="8"/>
      <c r="AI71" s="8"/>
      <c r="AJ71" s="8"/>
      <c r="AK71" s="8"/>
      <c r="AN71" s="23"/>
      <c r="AO71" s="23"/>
      <c r="AQ71" s="8" t="s">
        <v>63</v>
      </c>
      <c r="AR71" s="8"/>
      <c r="AS71" s="8" t="s">
        <v>62</v>
      </c>
      <c r="AU71" s="8"/>
      <c r="AV71" s="8"/>
      <c r="AX71" s="8"/>
      <c r="AY71" s="8"/>
      <c r="BF71" s="23"/>
      <c r="BG71" s="23"/>
      <c r="BI71" s="8" t="s">
        <v>63</v>
      </c>
      <c r="BJ71" s="8"/>
      <c r="BK71" s="8" t="s">
        <v>62</v>
      </c>
      <c r="BM71" s="8"/>
      <c r="BN71" s="8"/>
      <c r="BP71" s="8"/>
      <c r="BQ71" s="8"/>
      <c r="BR71" s="8"/>
      <c r="BU71" s="23"/>
      <c r="BV71" s="23"/>
      <c r="BX71" s="8" t="s">
        <v>63</v>
      </c>
      <c r="BY71" s="8"/>
      <c r="BZ71" s="8" t="s">
        <v>62</v>
      </c>
      <c r="CB71" s="8"/>
      <c r="CC71" s="8"/>
      <c r="CE71" s="8"/>
      <c r="CF71" s="8"/>
    </row>
    <row r="72" spans="1:87">
      <c r="A72" s="30"/>
      <c r="G72" s="30"/>
      <c r="H72" s="30"/>
      <c r="I72" s="30"/>
      <c r="J72" s="30"/>
      <c r="K72" s="30"/>
      <c r="L72" s="9"/>
      <c r="M72" s="91"/>
      <c r="N72" s="112"/>
      <c r="O72" s="91"/>
      <c r="P72" s="91"/>
      <c r="Q72" s="11"/>
      <c r="U72" s="9"/>
      <c r="Y72" s="23"/>
      <c r="Z72" s="23"/>
      <c r="AC72" s="8"/>
      <c r="AD72" s="8"/>
      <c r="AF72" s="8"/>
      <c r="AG72" s="8"/>
      <c r="AH72" s="8"/>
      <c r="AI72" s="8"/>
      <c r="AN72" s="23"/>
      <c r="AO72" s="23"/>
      <c r="AR72" s="8"/>
      <c r="AS72" s="8"/>
      <c r="AU72" s="8"/>
      <c r="AV72" s="8"/>
      <c r="AW72" s="8"/>
      <c r="AX72" s="8"/>
      <c r="BF72" s="23"/>
      <c r="BG72" s="23"/>
      <c r="BJ72" s="8"/>
      <c r="BK72" s="8"/>
      <c r="BM72" s="8"/>
      <c r="BN72" s="8"/>
      <c r="BO72" s="8"/>
      <c r="BP72" s="8"/>
      <c r="BU72" s="23"/>
      <c r="BV72" s="23"/>
      <c r="BY72" s="8"/>
      <c r="BZ72" s="8"/>
      <c r="CB72" s="8"/>
      <c r="CC72" s="8"/>
      <c r="CD72" s="8"/>
      <c r="CE72" s="8"/>
    </row>
    <row r="73" spans="1:87">
      <c r="A73" s="30"/>
      <c r="G73" s="30"/>
      <c r="H73" s="30"/>
      <c r="I73" s="30"/>
      <c r="J73" s="30"/>
      <c r="K73" s="30"/>
      <c r="L73" s="9"/>
      <c r="M73" s="91"/>
      <c r="N73" s="112"/>
      <c r="O73" s="91"/>
      <c r="P73" s="91"/>
      <c r="Q73" s="11"/>
      <c r="U73" s="9"/>
      <c r="Y73" s="23"/>
      <c r="Z73" s="23"/>
      <c r="AB73" s="8" t="s">
        <v>60</v>
      </c>
      <c r="AC73" s="8"/>
      <c r="AF73" s="8"/>
      <c r="AG73" s="8"/>
      <c r="AJ73" s="8"/>
      <c r="AK73" s="8"/>
      <c r="AN73" s="23"/>
      <c r="AO73" s="23"/>
      <c r="AQ73" s="8" t="s">
        <v>60</v>
      </c>
      <c r="AR73" s="8"/>
      <c r="AU73" s="8"/>
      <c r="AV73" s="8"/>
      <c r="AY73" s="8"/>
      <c r="BF73" s="23"/>
      <c r="BG73" s="23"/>
      <c r="BI73" s="8" t="s">
        <v>60</v>
      </c>
      <c r="BJ73" s="8"/>
      <c r="BM73" s="8"/>
      <c r="BN73" s="8"/>
      <c r="BQ73" s="8"/>
      <c r="BR73" s="8"/>
      <c r="BU73" s="23"/>
      <c r="BV73" s="23"/>
      <c r="BX73" s="8" t="s">
        <v>60</v>
      </c>
      <c r="BY73" s="8"/>
      <c r="CB73" s="8"/>
      <c r="CC73" s="8"/>
      <c r="CF73" s="8"/>
    </row>
    <row r="74" spans="1:87">
      <c r="A74" s="30"/>
      <c r="G74" s="30"/>
      <c r="H74" s="30"/>
      <c r="I74" s="30"/>
      <c r="J74" s="30"/>
      <c r="K74" s="30"/>
      <c r="L74" s="9"/>
      <c r="M74" s="91"/>
      <c r="N74" s="112"/>
      <c r="O74" s="91"/>
      <c r="P74" s="91"/>
      <c r="Q74" s="11"/>
      <c r="U74" s="9"/>
      <c r="W74" s="30" t="s">
        <v>70</v>
      </c>
      <c r="X74" s="30"/>
      <c r="Y74" s="30"/>
      <c r="Z74" s="23"/>
      <c r="AA74" s="92">
        <f>X76*AD74</f>
        <v>0</v>
      </c>
      <c r="AB74" s="8">
        <v>0</v>
      </c>
      <c r="AC74" s="8">
        <f>IF(AB74&lt;X77,X79,(LOG((X80)/0.002))/(LOG(X78/X77)))</f>
        <v>17</v>
      </c>
      <c r="AD74" s="93">
        <f>(AB74/X76)+0.002*(AB74/X77)^AC74</f>
        <v>0</v>
      </c>
      <c r="AE74" s="32"/>
      <c r="AH74" s="94"/>
      <c r="AI74" s="95"/>
      <c r="AJ74" s="94"/>
      <c r="AK74" s="94"/>
      <c r="AL74" s="30" t="s">
        <v>70</v>
      </c>
      <c r="AM74" s="30"/>
      <c r="AN74" s="30"/>
      <c r="AO74" s="23"/>
      <c r="AP74" s="92">
        <f>AM76*AS74</f>
        <v>0</v>
      </c>
      <c r="AQ74" s="8">
        <v>0</v>
      </c>
      <c r="AR74" s="8">
        <f>IF(AQ74&lt;AM77,AM79,(LOG((AM80)/0.002))/(LOG(AM78/AM77)))</f>
        <v>13</v>
      </c>
      <c r="AS74" s="93">
        <f>(AQ74/AM76)+0.002*(AQ74/AM77)^AR74</f>
        <v>0</v>
      </c>
      <c r="AT74" s="32"/>
      <c r="AW74" s="94"/>
      <c r="AX74" s="95"/>
      <c r="AY74" s="94"/>
      <c r="AZ74" s="92">
        <f>-AP74</f>
        <v>0</v>
      </c>
      <c r="BA74" s="9">
        <f>-AQ74</f>
        <v>0</v>
      </c>
      <c r="BB74" s="96">
        <f>-AS74</f>
        <v>0</v>
      </c>
      <c r="BD74" s="30" t="s">
        <v>70</v>
      </c>
      <c r="BE74" s="30"/>
      <c r="BF74" s="30"/>
      <c r="BG74" s="23"/>
      <c r="BH74" s="92">
        <f>BE76*BK74</f>
        <v>0</v>
      </c>
      <c r="BI74" s="8">
        <v>0</v>
      </c>
      <c r="BJ74" s="8">
        <f>IF(BI74&lt;BE77,BE79,(LOG((BE80)/0.002))/(LOG(BE78/BE77)))</f>
        <v>15</v>
      </c>
      <c r="BK74" s="93">
        <f>(BI74/BE76)+0.002*(BI74/BE77)^BJ74</f>
        <v>0</v>
      </c>
      <c r="BL74" s="32"/>
      <c r="BO74" s="94"/>
      <c r="BP74" s="95"/>
      <c r="BQ74" s="94"/>
      <c r="BR74" s="94"/>
      <c r="BS74" s="30" t="s">
        <v>70</v>
      </c>
      <c r="BT74" s="30"/>
      <c r="BU74" s="30"/>
      <c r="BV74" s="23"/>
      <c r="BW74" s="92">
        <f>BT76*BZ74</f>
        <v>0</v>
      </c>
      <c r="BX74" s="8">
        <v>0</v>
      </c>
      <c r="BY74" s="8">
        <f>IF(BX74&lt;BT77,BT79,(LOG((BT80)/0.002))/(LOG(BT78/BT77)))</f>
        <v>12</v>
      </c>
      <c r="BZ74" s="93">
        <f>(BX74/BT76)+0.002*(BX74/BT77)^BY74</f>
        <v>0</v>
      </c>
      <c r="CA74" s="32"/>
      <c r="CD74" s="94"/>
      <c r="CE74" s="95"/>
      <c r="CF74" s="94"/>
      <c r="CG74" s="92">
        <f>-BW74</f>
        <v>0</v>
      </c>
      <c r="CH74" s="9">
        <f>-BX74</f>
        <v>0</v>
      </c>
      <c r="CI74" s="96">
        <f>-BZ74</f>
        <v>0</v>
      </c>
    </row>
    <row r="75" spans="1:87">
      <c r="A75" s="30"/>
      <c r="B75" s="30"/>
      <c r="C75" s="30"/>
      <c r="D75" s="30"/>
      <c r="E75" s="30"/>
      <c r="F75" s="30"/>
      <c r="G75" s="30"/>
      <c r="H75" s="30"/>
      <c r="I75" s="30"/>
      <c r="J75" s="30"/>
      <c r="K75" s="30"/>
      <c r="L75" s="9"/>
      <c r="M75" s="91"/>
      <c r="N75" s="112"/>
      <c r="O75" s="91"/>
      <c r="P75" s="91"/>
      <c r="Q75" s="11"/>
      <c r="U75" s="9"/>
      <c r="W75" s="30"/>
      <c r="X75" s="30"/>
      <c r="Y75" s="30"/>
      <c r="Z75" s="23"/>
      <c r="AA75" s="92">
        <f>X76*AD75</f>
        <v>2000.0000000000002</v>
      </c>
      <c r="AB75" s="8">
        <v>2000</v>
      </c>
      <c r="AC75" s="8">
        <f>IF(AB75&lt;X77,X79,(LOG((X80)/0.002))/(LOG(X78/X77)))</f>
        <v>17</v>
      </c>
      <c r="AD75" s="93">
        <f>(AB75/X76)+0.002*(AB75/X77)^AC75</f>
        <v>1.9417475728155341E-4</v>
      </c>
      <c r="AG75" s="97"/>
      <c r="AH75" s="94"/>
      <c r="AI75" s="94"/>
      <c r="AJ75" s="94"/>
      <c r="AK75" s="94"/>
      <c r="AL75" s="30"/>
      <c r="AM75" s="30"/>
      <c r="AN75" s="30"/>
      <c r="AO75" s="23"/>
      <c r="AP75" s="92">
        <f>AM76*AS75</f>
        <v>2500</v>
      </c>
      <c r="AQ75" s="8">
        <v>2500</v>
      </c>
      <c r="AR75" s="8">
        <f>IF(AQ75&lt;AM77,AM79,(LOG((AM80)/0.002))/(LOG(AM78/AM77)))</f>
        <v>13</v>
      </c>
      <c r="AS75" s="93">
        <f>(AQ75/AM76)+0.002*(AQ75/AM77)^AR75</f>
        <v>2.380952380952381E-4</v>
      </c>
      <c r="AV75" s="97"/>
      <c r="AW75" s="94"/>
      <c r="AX75" s="94"/>
      <c r="AY75" s="94"/>
      <c r="AZ75" s="92">
        <f t="shared" ref="AZ75:AZ112" si="1">-AP75</f>
        <v>-2500</v>
      </c>
      <c r="BA75" s="9">
        <f t="shared" ref="BA75:BA112" si="2">-AQ75</f>
        <v>-2500</v>
      </c>
      <c r="BB75" s="96">
        <f t="shared" ref="BB75:BB112" si="3">-AS75</f>
        <v>-2.380952380952381E-4</v>
      </c>
      <c r="BD75" s="30"/>
      <c r="BE75" s="30"/>
      <c r="BF75" s="30"/>
      <c r="BG75" s="23"/>
      <c r="BH75" s="92">
        <f>BE76*BK75</f>
        <v>2000.0000000000002</v>
      </c>
      <c r="BI75" s="8">
        <v>2000</v>
      </c>
      <c r="BJ75" s="8">
        <f>IF(BI75&lt;BE77,BE79,(LOG((BE80)/0.002))/(LOG(BE78/BE77)))</f>
        <v>15</v>
      </c>
      <c r="BK75" s="93">
        <f>(BI75/BE76)+0.002*(BI75/BE77)^BJ75</f>
        <v>1.9417475728155341E-4</v>
      </c>
      <c r="BN75" s="97"/>
      <c r="BO75" s="94"/>
      <c r="BP75" s="94"/>
      <c r="BQ75" s="94"/>
      <c r="BR75" s="94"/>
      <c r="BS75" s="30"/>
      <c r="BT75" s="30"/>
      <c r="BU75" s="30"/>
      <c r="BV75" s="23"/>
      <c r="BW75" s="92">
        <f>BT76*BZ75</f>
        <v>2500</v>
      </c>
      <c r="BX75" s="8">
        <v>2500</v>
      </c>
      <c r="BY75" s="8">
        <f>IF(BX75&lt;BT77,BT79,(LOG((BT80)/0.002))/(LOG(BT78/BT77)))</f>
        <v>12</v>
      </c>
      <c r="BZ75" s="93">
        <f>(BX75/BT76)+0.002*(BX75/BT77)^BY75</f>
        <v>2.380952380952381E-4</v>
      </c>
      <c r="CC75" s="97"/>
      <c r="CD75" s="94"/>
      <c r="CE75" s="94"/>
      <c r="CF75" s="94"/>
      <c r="CG75" s="92">
        <f t="shared" ref="CG75:CG112" si="4">-BW75</f>
        <v>-2500</v>
      </c>
      <c r="CH75" s="9">
        <f t="shared" ref="CH75:CH112" si="5">-BX75</f>
        <v>-2500</v>
      </c>
      <c r="CI75" s="96">
        <f t="shared" ref="CI75:CI112" si="6">-BZ75</f>
        <v>-2.380952380952381E-4</v>
      </c>
    </row>
    <row r="76" spans="1:87">
      <c r="A76" s="30"/>
      <c r="B76" s="30"/>
      <c r="C76" s="30"/>
      <c r="D76" s="30"/>
      <c r="E76" s="30"/>
      <c r="F76" s="30"/>
      <c r="G76" s="30"/>
      <c r="H76" s="30"/>
      <c r="I76" s="30"/>
      <c r="J76" s="30"/>
      <c r="K76" s="30"/>
      <c r="L76" s="9"/>
      <c r="M76" s="91"/>
      <c r="N76" s="112"/>
      <c r="O76" s="91"/>
      <c r="P76" s="91"/>
      <c r="Q76" s="11"/>
      <c r="U76" s="9"/>
      <c r="W76" s="98" t="s">
        <v>68</v>
      </c>
      <c r="X76" s="99">
        <f>D33</f>
        <v>10300000</v>
      </c>
      <c r="Y76" s="30" t="s">
        <v>59</v>
      </c>
      <c r="Z76" s="23"/>
      <c r="AA76" s="92">
        <f>X76*AD76</f>
        <v>4000.0000000000005</v>
      </c>
      <c r="AB76" s="8">
        <v>4000</v>
      </c>
      <c r="AC76" s="8">
        <f>IF(AB76&lt;X77,X79,(LOG((X80)/0.002))/(LOG(X78/X77)))</f>
        <v>17</v>
      </c>
      <c r="AD76" s="93">
        <f>(AB76/X76)+0.002*(AB76/X77)^AC76</f>
        <v>3.8834951456310682E-4</v>
      </c>
      <c r="AG76" s="97"/>
      <c r="AH76" s="94"/>
      <c r="AI76" s="94"/>
      <c r="AJ76" s="94"/>
      <c r="AK76" s="94"/>
      <c r="AL76" s="98" t="s">
        <v>68</v>
      </c>
      <c r="AM76" s="99">
        <f>D35</f>
        <v>10500000</v>
      </c>
      <c r="AN76" s="30" t="s">
        <v>59</v>
      </c>
      <c r="AO76" s="23"/>
      <c r="AP76" s="92">
        <f>AM76*AS76</f>
        <v>5000.0000000000318</v>
      </c>
      <c r="AQ76" s="8">
        <v>5000</v>
      </c>
      <c r="AR76" s="8">
        <f>IF(AQ76&lt;AM77,AM79,(LOG((AM80)/0.002))/(LOG(AM78/AM77)))</f>
        <v>13</v>
      </c>
      <c r="AS76" s="93">
        <f>(AQ76/AM76)+0.002*(AQ76/AM77)^AR76</f>
        <v>4.7619047619047923E-4</v>
      </c>
      <c r="AV76" s="97"/>
      <c r="AW76" s="94"/>
      <c r="AX76" s="94"/>
      <c r="AY76" s="94"/>
      <c r="AZ76" s="92">
        <f t="shared" si="1"/>
        <v>-5000.0000000000318</v>
      </c>
      <c r="BA76" s="9">
        <f t="shared" si="2"/>
        <v>-5000</v>
      </c>
      <c r="BB76" s="96">
        <f t="shared" si="3"/>
        <v>-4.7619047619047923E-4</v>
      </c>
      <c r="BD76" s="98" t="s">
        <v>68</v>
      </c>
      <c r="BE76" s="99">
        <f>X76</f>
        <v>10300000</v>
      </c>
      <c r="BF76" s="30" t="s">
        <v>59</v>
      </c>
      <c r="BG76" s="23"/>
      <c r="BH76" s="92">
        <f>BE76*BK76</f>
        <v>4000.0000000000005</v>
      </c>
      <c r="BI76" s="8">
        <v>4000</v>
      </c>
      <c r="BJ76" s="8">
        <f>IF(BI76&lt;BE77,BE79,(LOG((BE80)/0.002))/(LOG(BE78/BE77)))</f>
        <v>15</v>
      </c>
      <c r="BK76" s="93">
        <f>(BI76/BE76)+0.002*(BI76/BE77)^BJ76</f>
        <v>3.8834951456310682E-4</v>
      </c>
      <c r="BN76" s="97"/>
      <c r="BO76" s="94"/>
      <c r="BP76" s="94"/>
      <c r="BQ76" s="94"/>
      <c r="BR76" s="94"/>
      <c r="BS76" s="98" t="s">
        <v>68</v>
      </c>
      <c r="BT76" s="99">
        <f>AM76</f>
        <v>10500000</v>
      </c>
      <c r="BU76" s="30" t="s">
        <v>59</v>
      </c>
      <c r="BV76" s="23"/>
      <c r="BW76" s="92">
        <f>BT76*BZ76</f>
        <v>5000.0000000002638</v>
      </c>
      <c r="BX76" s="8">
        <v>5000</v>
      </c>
      <c r="BY76" s="8">
        <f>IF(BX76&lt;BT77,BT79,(LOG((BT80)/0.002))/(LOG(BT78/BT77)))</f>
        <v>12</v>
      </c>
      <c r="BZ76" s="93">
        <f>(BX76/BT76)+0.002*(BX76/BT77)^BY76</f>
        <v>4.7619047619050134E-4</v>
      </c>
      <c r="CC76" s="97"/>
      <c r="CD76" s="94"/>
      <c r="CE76" s="94"/>
      <c r="CF76" s="94"/>
      <c r="CG76" s="92">
        <f t="shared" si="4"/>
        <v>-5000.0000000002638</v>
      </c>
      <c r="CH76" s="9">
        <f t="shared" si="5"/>
        <v>-5000</v>
      </c>
      <c r="CI76" s="96">
        <f t="shared" si="6"/>
        <v>-4.7619047619050134E-4</v>
      </c>
    </row>
    <row r="77" spans="1:87">
      <c r="A77" s="30"/>
      <c r="B77" s="30"/>
      <c r="C77" s="30"/>
      <c r="D77" s="30"/>
      <c r="E77" s="30"/>
      <c r="F77" s="30"/>
      <c r="G77" s="30"/>
      <c r="H77" s="30"/>
      <c r="I77" s="30"/>
      <c r="J77" s="30"/>
      <c r="K77" s="30"/>
      <c r="L77" s="9"/>
      <c r="M77" s="91"/>
      <c r="N77" s="112"/>
      <c r="O77" s="91"/>
      <c r="P77" s="91"/>
      <c r="Q77" s="11"/>
      <c r="U77" s="9"/>
      <c r="W77" s="98" t="s">
        <v>64</v>
      </c>
      <c r="X77" s="100">
        <f>D21</f>
        <v>70000</v>
      </c>
      <c r="Y77" s="30" t="s">
        <v>59</v>
      </c>
      <c r="Z77" s="23"/>
      <c r="AA77" s="92">
        <f>X76*AD77</f>
        <v>6000</v>
      </c>
      <c r="AB77" s="8">
        <v>6000</v>
      </c>
      <c r="AC77" s="8">
        <f>IF(AB77&lt;X77,X79,(LOG((X80)/0.002))/(LOG(X78/X77)))</f>
        <v>17</v>
      </c>
      <c r="AD77" s="93">
        <f>(AB77/X76)+0.002*(AB77/X77)^AC77</f>
        <v>5.8252427184466023E-4</v>
      </c>
      <c r="AG77" s="97"/>
      <c r="AH77" s="94"/>
      <c r="AI77" s="94"/>
      <c r="AJ77" s="94"/>
      <c r="AK77" s="94"/>
      <c r="AL77" s="98" t="s">
        <v>64</v>
      </c>
      <c r="AM77" s="100">
        <f>D24</f>
        <v>69000</v>
      </c>
      <c r="AN77" s="30" t="s">
        <v>59</v>
      </c>
      <c r="AO77" s="23"/>
      <c r="AP77" s="92">
        <f>AM76*AS77</f>
        <v>7500.0000000062091</v>
      </c>
      <c r="AQ77" s="8">
        <v>7500</v>
      </c>
      <c r="AR77" s="8">
        <f>IF(AQ77&lt;AM77,AM79,(LOG((AM80)/0.002))/(LOG(AM78/AM77)))</f>
        <v>13</v>
      </c>
      <c r="AS77" s="93">
        <f>(AQ77/AM76)+0.002*(AQ77/AM77)^AR77</f>
        <v>7.1428571428630561E-4</v>
      </c>
      <c r="AV77" s="97"/>
      <c r="AW77" s="94"/>
      <c r="AX77" s="94"/>
      <c r="AY77" s="94"/>
      <c r="AZ77" s="92">
        <f t="shared" si="1"/>
        <v>-7500.0000000062091</v>
      </c>
      <c r="BA77" s="9">
        <f t="shared" si="2"/>
        <v>-7500</v>
      </c>
      <c r="BB77" s="96">
        <f t="shared" si="3"/>
        <v>-7.1428571428630561E-4</v>
      </c>
      <c r="BD77" s="98" t="s">
        <v>64</v>
      </c>
      <c r="BE77" s="100">
        <f>D22</f>
        <v>68000</v>
      </c>
      <c r="BF77" s="30" t="s">
        <v>59</v>
      </c>
      <c r="BG77" s="23"/>
      <c r="BH77" s="92">
        <f>BE76*BK77</f>
        <v>6000.0000000000036</v>
      </c>
      <c r="BI77" s="8">
        <v>6000</v>
      </c>
      <c r="BJ77" s="8">
        <f>IF(BI77&lt;BE77,BE79,(LOG((BE80)/0.002))/(LOG(BE78/BE77)))</f>
        <v>15</v>
      </c>
      <c r="BK77" s="93">
        <f>(BI77/BE76)+0.002*(BI77/BE77)^BJ77</f>
        <v>5.8252427184466056E-4</v>
      </c>
      <c r="BN77" s="97"/>
      <c r="BO77" s="94"/>
      <c r="BP77" s="94"/>
      <c r="BQ77" s="94"/>
      <c r="BR77" s="94"/>
      <c r="BS77" s="98" t="s">
        <v>64</v>
      </c>
      <c r="BT77" s="100">
        <f>D25</f>
        <v>72000</v>
      </c>
      <c r="BU77" s="30" t="s">
        <v>59</v>
      </c>
      <c r="BV77" s="23"/>
      <c r="BW77" s="92">
        <f>BT76*BZ77</f>
        <v>7500.0000000342743</v>
      </c>
      <c r="BX77" s="8">
        <v>7500</v>
      </c>
      <c r="BY77" s="8">
        <f>IF(BX77&lt;BT77,BT79,(LOG((BT80)/0.002))/(LOG(BT78/BT77)))</f>
        <v>12</v>
      </c>
      <c r="BZ77" s="93">
        <f>(BX77/BT76)+0.002*(BX77/BT77)^BY77</f>
        <v>7.1428571428897849E-4</v>
      </c>
      <c r="CC77" s="97"/>
      <c r="CD77" s="94"/>
      <c r="CE77" s="94"/>
      <c r="CF77" s="94"/>
      <c r="CG77" s="92">
        <f t="shared" si="4"/>
        <v>-7500.0000000342743</v>
      </c>
      <c r="CH77" s="9">
        <f t="shared" si="5"/>
        <v>-7500</v>
      </c>
      <c r="CI77" s="96">
        <f t="shared" si="6"/>
        <v>-7.1428571428897849E-4</v>
      </c>
    </row>
    <row r="78" spans="1:87">
      <c r="A78" s="30"/>
      <c r="B78" s="30"/>
      <c r="C78" s="30"/>
      <c r="D78" s="30"/>
      <c r="E78" s="30"/>
      <c r="F78" s="30"/>
      <c r="G78" s="30"/>
      <c r="H78" s="30"/>
      <c r="I78" s="30"/>
      <c r="J78" s="30"/>
      <c r="K78" s="30"/>
      <c r="L78" s="9"/>
      <c r="M78" s="91"/>
      <c r="N78" s="112"/>
      <c r="O78" s="91"/>
      <c r="P78" s="91"/>
      <c r="Q78" s="11"/>
      <c r="U78" s="9"/>
      <c r="W78" s="98" t="s">
        <v>61</v>
      </c>
      <c r="X78" s="100">
        <f>D18</f>
        <v>78000</v>
      </c>
      <c r="Y78" s="30" t="s">
        <v>59</v>
      </c>
      <c r="Z78" s="23"/>
      <c r="AA78" s="92">
        <f>X76*AD78</f>
        <v>8000.0000000000027</v>
      </c>
      <c r="AB78" s="8">
        <v>8000</v>
      </c>
      <c r="AC78" s="8">
        <f>IF(AB78&lt;X77,X79,(LOG((X80)/0.002))/(LOG(X78/X77)))</f>
        <v>17</v>
      </c>
      <c r="AD78" s="93">
        <f>(AB78/X76)+0.002*(AB78/X77)^AC78</f>
        <v>7.7669902912621386E-4</v>
      </c>
      <c r="AG78" s="97"/>
      <c r="AH78" s="94"/>
      <c r="AI78" s="94"/>
      <c r="AJ78" s="94"/>
      <c r="AK78" s="94"/>
      <c r="AL78" s="98" t="s">
        <v>61</v>
      </c>
      <c r="AM78" s="100">
        <f>D18</f>
        <v>78000</v>
      </c>
      <c r="AN78" s="30" t="s">
        <v>59</v>
      </c>
      <c r="AO78" s="23"/>
      <c r="AP78" s="92">
        <f>AM76*AS78</f>
        <v>10000.000000261325</v>
      </c>
      <c r="AQ78" s="8">
        <v>10000</v>
      </c>
      <c r="AR78" s="8">
        <f>IF(AQ78&lt;AM77,AM79,(LOG((AM80)/0.002))/(LOG(AM78/AM77)))</f>
        <v>13</v>
      </c>
      <c r="AS78" s="93">
        <f>(AQ78/AM76)+0.002*(AQ78/AM77)^AR78</f>
        <v>9.5238095240584046E-4</v>
      </c>
      <c r="AV78" s="97"/>
      <c r="AW78" s="94"/>
      <c r="AX78" s="94"/>
      <c r="AY78" s="94"/>
      <c r="AZ78" s="92">
        <f t="shared" si="1"/>
        <v>-10000.000000261325</v>
      </c>
      <c r="BA78" s="9">
        <f t="shared" si="2"/>
        <v>-10000</v>
      </c>
      <c r="BB78" s="96">
        <f t="shared" si="3"/>
        <v>-9.5238095240584046E-4</v>
      </c>
      <c r="BD78" s="98" t="s">
        <v>61</v>
      </c>
      <c r="BE78" s="100">
        <f>D19</f>
        <v>78000</v>
      </c>
      <c r="BF78" s="30" t="s">
        <v>59</v>
      </c>
      <c r="BG78" s="23"/>
      <c r="BH78" s="92">
        <f>BE76*BK78</f>
        <v>8000.0000000002365</v>
      </c>
      <c r="BI78" s="8">
        <v>8000</v>
      </c>
      <c r="BJ78" s="8">
        <f>IF(BI78&lt;BE77,BE79,(LOG((BE80)/0.002))/(LOG(BE78/BE77)))</f>
        <v>15</v>
      </c>
      <c r="BK78" s="93">
        <f>(BI78/BE76)+0.002*(BI78/BE77)^BJ78</f>
        <v>7.7669902912623652E-4</v>
      </c>
      <c r="BN78" s="97"/>
      <c r="BO78" s="94"/>
      <c r="BP78" s="94"/>
      <c r="BQ78" s="94"/>
      <c r="BR78" s="94"/>
      <c r="BS78" s="98" t="s">
        <v>61</v>
      </c>
      <c r="BT78" s="100">
        <f>D19</f>
        <v>78000</v>
      </c>
      <c r="BU78" s="30" t="s">
        <v>59</v>
      </c>
      <c r="BV78" s="23"/>
      <c r="BW78" s="92">
        <f>BT76*BZ78</f>
        <v>10000.000001082006</v>
      </c>
      <c r="BX78" s="8">
        <v>10000</v>
      </c>
      <c r="BY78" s="8">
        <f>IF(BX78&lt;BT77,BT79,(LOG((BT80)/0.002))/(LOG(BT78/BT77)))</f>
        <v>12</v>
      </c>
      <c r="BZ78" s="93">
        <f>(BX78/BT76)+0.002*(BX78/BT77)^BY78</f>
        <v>9.5238095248400048E-4</v>
      </c>
      <c r="CC78" s="97"/>
      <c r="CD78" s="94"/>
      <c r="CE78" s="94"/>
      <c r="CF78" s="94"/>
      <c r="CG78" s="92">
        <f t="shared" si="4"/>
        <v>-10000.000001082006</v>
      </c>
      <c r="CH78" s="9">
        <f t="shared" si="5"/>
        <v>-10000</v>
      </c>
      <c r="CI78" s="96">
        <f t="shared" si="6"/>
        <v>-9.5238095248400048E-4</v>
      </c>
    </row>
    <row r="79" spans="1:87">
      <c r="A79" s="30"/>
      <c r="B79" s="30"/>
      <c r="C79" s="30"/>
      <c r="D79" s="30"/>
      <c r="E79" s="30"/>
      <c r="F79" s="30"/>
      <c r="G79" s="30"/>
      <c r="H79" s="30"/>
      <c r="I79" s="30"/>
      <c r="J79" s="30"/>
      <c r="K79" s="30"/>
      <c r="L79" s="9"/>
      <c r="M79" s="91"/>
      <c r="N79" s="112"/>
      <c r="O79" s="91"/>
      <c r="P79" s="91"/>
      <c r="Q79" s="11"/>
      <c r="U79" s="9"/>
      <c r="W79" s="98" t="s">
        <v>88</v>
      </c>
      <c r="X79" s="101">
        <f>BF18</f>
        <v>17</v>
      </c>
      <c r="Y79" s="102"/>
      <c r="Z79" s="23"/>
      <c r="AA79" s="92">
        <f>X76*AD79</f>
        <v>10000.000000000087</v>
      </c>
      <c r="AB79" s="8">
        <v>10000</v>
      </c>
      <c r="AC79" s="8">
        <f>IF(AB79&lt;X77,X79,(LOG((X80)/0.002))/(LOG(X78/X77)))</f>
        <v>17</v>
      </c>
      <c r="AD79" s="93">
        <f>(AB79/X76)+0.002*(AB79/X77)^AC79</f>
        <v>9.7087378640777551E-4</v>
      </c>
      <c r="AF79" s="8"/>
      <c r="AG79" s="97"/>
      <c r="AH79" s="94"/>
      <c r="AI79" s="94"/>
      <c r="AJ79" s="94"/>
      <c r="AK79" s="94"/>
      <c r="AL79" s="98" t="s">
        <v>88</v>
      </c>
      <c r="AM79" s="101">
        <f>BC18</f>
        <v>13</v>
      </c>
      <c r="AN79" s="102"/>
      <c r="AO79" s="23"/>
      <c r="AP79" s="92">
        <f>AM76*AS79</f>
        <v>12500.000004753476</v>
      </c>
      <c r="AQ79" s="8">
        <v>12500</v>
      </c>
      <c r="AR79" s="8">
        <f>IF(AQ79&lt;AM77,AM79,(LOG((AM80)/0.002))/(LOG(AM78/AM77)))</f>
        <v>13</v>
      </c>
      <c r="AS79" s="93">
        <f>(AQ79/AM76)+0.002*(AQ79/AM77)^AR79</f>
        <v>1.1904761909289025E-3</v>
      </c>
      <c r="AU79" s="8"/>
      <c r="AV79" s="97"/>
      <c r="AW79" s="94"/>
      <c r="AX79" s="94"/>
      <c r="AY79" s="94"/>
      <c r="AZ79" s="92">
        <f t="shared" si="1"/>
        <v>-12500.000004753476</v>
      </c>
      <c r="BA79" s="9">
        <f t="shared" si="2"/>
        <v>-12500</v>
      </c>
      <c r="BB79" s="96">
        <f t="shared" si="3"/>
        <v>-1.1904761909289025E-3</v>
      </c>
      <c r="BD79" s="98" t="s">
        <v>88</v>
      </c>
      <c r="BE79" s="101">
        <f>BG18</f>
        <v>15</v>
      </c>
      <c r="BF79" s="102"/>
      <c r="BG79" s="23"/>
      <c r="BH79" s="92">
        <f>BE76*BK79</f>
        <v>10000.000000006703</v>
      </c>
      <c r="BI79" s="8">
        <v>10000</v>
      </c>
      <c r="BJ79" s="8">
        <f>IF(BI79&lt;BE77,BE79,(LOG((BE80)/0.002))/(LOG(BE78/BE77)))</f>
        <v>15</v>
      </c>
      <c r="BK79" s="93">
        <f>(BI79/BE76)+0.002*(BI79/BE77)^BJ79</f>
        <v>9.7087378640841769E-4</v>
      </c>
      <c r="BM79" s="8"/>
      <c r="BN79" s="97"/>
      <c r="BO79" s="94"/>
      <c r="BP79" s="94"/>
      <c r="BQ79" s="94"/>
      <c r="BR79" s="94"/>
      <c r="BS79" s="98" t="s">
        <v>88</v>
      </c>
      <c r="BT79" s="101">
        <f>BD18</f>
        <v>12</v>
      </c>
      <c r="BU79" s="102"/>
      <c r="BV79" s="23"/>
      <c r="BW79" s="92">
        <f>BT76*BZ79</f>
        <v>12500.000015745249</v>
      </c>
      <c r="BX79" s="8">
        <v>12500</v>
      </c>
      <c r="BY79" s="8">
        <f>IF(BX79&lt;BT77,BT79,(LOG((BT80)/0.002))/(LOG(BT78/BT77)))</f>
        <v>12</v>
      </c>
      <c r="BZ79" s="93">
        <f>(BX79/BT76)+0.002*(BX79/BT77)^BY79</f>
        <v>1.190476191975738E-3</v>
      </c>
      <c r="CB79" s="8"/>
      <c r="CC79" s="97"/>
      <c r="CD79" s="94"/>
      <c r="CE79" s="94"/>
      <c r="CF79" s="94"/>
      <c r="CG79" s="92">
        <f t="shared" si="4"/>
        <v>-12500.000015745249</v>
      </c>
      <c r="CH79" s="9">
        <f t="shared" si="5"/>
        <v>-12500</v>
      </c>
      <c r="CI79" s="96">
        <f t="shared" si="6"/>
        <v>-1.190476191975738E-3</v>
      </c>
    </row>
    <row r="80" spans="1:87" ht="15">
      <c r="A80" s="30"/>
      <c r="B80" s="30"/>
      <c r="C80" s="30"/>
      <c r="D80" s="30"/>
      <c r="E80" s="30"/>
      <c r="F80" s="30"/>
      <c r="G80" s="30"/>
      <c r="H80" s="30"/>
      <c r="I80" s="30"/>
      <c r="J80" s="30"/>
      <c r="K80" s="30"/>
      <c r="L80" s="9"/>
      <c r="M80" s="91"/>
      <c r="N80" s="112"/>
      <c r="O80" s="91"/>
      <c r="P80" s="91"/>
      <c r="Q80" s="11"/>
      <c r="U80" s="9"/>
      <c r="W80" s="98" t="s">
        <v>89</v>
      </c>
      <c r="X80" s="103">
        <f>AT18/100</f>
        <v>0.08</v>
      </c>
      <c r="Y80" s="102"/>
      <c r="Z80" s="23"/>
      <c r="AA80" s="92">
        <f>X76*AD80</f>
        <v>12000.000000001966</v>
      </c>
      <c r="AB80" s="8">
        <v>12000</v>
      </c>
      <c r="AC80" s="8">
        <f>IF(AB80&lt;X77,X79,(LOG((X80)/0.002))/(LOG(X78/X77)))</f>
        <v>17</v>
      </c>
      <c r="AD80" s="93">
        <f>(AB80/X76)+0.002*(AB80/X77)^AC80</f>
        <v>1.1650485436895113E-3</v>
      </c>
      <c r="AG80" s="97"/>
      <c r="AH80" s="94"/>
      <c r="AI80" s="94"/>
      <c r="AJ80" s="94"/>
      <c r="AK80" s="94"/>
      <c r="AL80" s="98" t="s">
        <v>89</v>
      </c>
      <c r="AM80" s="103">
        <f>AT18/100</f>
        <v>0.08</v>
      </c>
      <c r="AN80" s="102"/>
      <c r="AO80" s="23"/>
      <c r="AP80" s="92">
        <f>AM76*AS80</f>
        <v>15000.00005085896</v>
      </c>
      <c r="AQ80" s="8">
        <v>15000</v>
      </c>
      <c r="AR80" s="8">
        <f>IF(AQ80&lt;AM77,AM79,(LOG((AM80)/0.002))/(LOG(AM78/AM77)))</f>
        <v>13</v>
      </c>
      <c r="AS80" s="93">
        <f>(AQ80/AM76)+0.002*(AQ80/AM77)^AR80</f>
        <v>1.4285714334151391E-3</v>
      </c>
      <c r="AV80" s="97"/>
      <c r="AW80" s="94"/>
      <c r="AX80" s="94"/>
      <c r="AY80" s="94"/>
      <c r="AZ80" s="92">
        <f t="shared" si="1"/>
        <v>-15000.00005085896</v>
      </c>
      <c r="BA80" s="9">
        <f t="shared" si="2"/>
        <v>-15000</v>
      </c>
      <c r="BB80" s="96">
        <f t="shared" si="3"/>
        <v>-1.4285714334151391E-3</v>
      </c>
      <c r="BD80" s="98" t="s">
        <v>89</v>
      </c>
      <c r="BE80" s="103">
        <f>X80</f>
        <v>0.08</v>
      </c>
      <c r="BF80" s="102"/>
      <c r="BG80" s="23"/>
      <c r="BH80" s="92">
        <f>BE76*BK80</f>
        <v>12000.000000103264</v>
      </c>
      <c r="BI80" s="8">
        <v>12000</v>
      </c>
      <c r="BJ80" s="8">
        <f>IF(BI80&lt;BE77,BE79,(LOG((BE80)/0.002))/(LOG(BE78/BE77)))</f>
        <v>15</v>
      </c>
      <c r="BK80" s="93">
        <f>(BI80/BE76)+0.002*(BI80/BE77)^BJ80</f>
        <v>1.1650485436993461E-3</v>
      </c>
      <c r="BN80" s="97"/>
      <c r="BO80" s="94"/>
      <c r="BP80" s="94"/>
      <c r="BQ80" s="94"/>
      <c r="BR80" s="94"/>
      <c r="BS80" s="98" t="s">
        <v>89</v>
      </c>
      <c r="BT80" s="103">
        <f>AM80</f>
        <v>0.08</v>
      </c>
      <c r="BU80" s="102"/>
      <c r="BV80" s="23"/>
      <c r="BW80" s="92">
        <f>BT76*BZ80</f>
        <v>15000.000140386208</v>
      </c>
      <c r="BX80" s="8">
        <v>15000</v>
      </c>
      <c r="BY80" s="8">
        <f>IF(BX80&lt;BT77,BT79,(LOG((BT80)/0.002))/(LOG(BT78/BT77)))</f>
        <v>12</v>
      </c>
      <c r="BZ80" s="93">
        <f>(BX80/BT76)+0.002*(BX80/BT77)^BY80</f>
        <v>1.4285714419415437E-3</v>
      </c>
      <c r="CC80" s="97"/>
      <c r="CD80" s="94"/>
      <c r="CE80" s="94"/>
      <c r="CF80" s="94"/>
      <c r="CG80" s="92">
        <f t="shared" si="4"/>
        <v>-15000.000140386208</v>
      </c>
      <c r="CH80" s="9">
        <f t="shared" si="5"/>
        <v>-15000</v>
      </c>
      <c r="CI80" s="96">
        <f t="shared" si="6"/>
        <v>-1.4285714419415437E-3</v>
      </c>
    </row>
    <row r="81" spans="1:87">
      <c r="A81" s="30"/>
      <c r="B81" s="30"/>
      <c r="C81" s="30"/>
      <c r="D81" s="30"/>
      <c r="E81" s="30"/>
      <c r="F81" s="30"/>
      <c r="G81" s="30"/>
      <c r="H81" s="30"/>
      <c r="I81" s="30"/>
      <c r="J81" s="30"/>
      <c r="K81" s="30"/>
      <c r="L81" s="9"/>
      <c r="M81" s="91"/>
      <c r="N81" s="112"/>
      <c r="O81" s="91"/>
      <c r="P81" s="91"/>
      <c r="Q81" s="11"/>
      <c r="U81" s="9"/>
      <c r="Y81" s="23"/>
      <c r="Z81" s="23"/>
      <c r="AA81" s="92">
        <f>X76*AD81</f>
        <v>14000.000000026999</v>
      </c>
      <c r="AB81" s="8">
        <v>14000</v>
      </c>
      <c r="AC81" s="8">
        <f>IF(AB81&lt;X77,X79,(LOG((X80)/0.002))/(LOG(X78/X77)))</f>
        <v>17</v>
      </c>
      <c r="AD81" s="93">
        <f>(AB81/X76)+0.002*(AB81/X77)^AC81</f>
        <v>1.3592233009734952E-3</v>
      </c>
      <c r="AG81" s="97"/>
      <c r="AH81" s="94"/>
      <c r="AI81" s="94"/>
      <c r="AJ81" s="94"/>
      <c r="AK81" s="94"/>
      <c r="AN81" s="23"/>
      <c r="AO81" s="23"/>
      <c r="AP81" s="92">
        <f>AM76*AS81</f>
        <v>17500.000377290395</v>
      </c>
      <c r="AQ81" s="8">
        <v>17500</v>
      </c>
      <c r="AR81" s="8">
        <f>IF(AQ81&lt;AM77,AM79,(LOG((AM80)/0.002))/(LOG(AM78/AM77)))</f>
        <v>13</v>
      </c>
      <c r="AS81" s="93">
        <f>(AQ81/AM76)+0.002*(AQ81/AM77)^AR81</f>
        <v>1.6666667025990853E-3</v>
      </c>
      <c r="AV81" s="97"/>
      <c r="AW81" s="94"/>
      <c r="AX81" s="94"/>
      <c r="AY81" s="94"/>
      <c r="AZ81" s="92">
        <f t="shared" si="1"/>
        <v>-17500.000377290395</v>
      </c>
      <c r="BA81" s="9">
        <f t="shared" si="2"/>
        <v>-17500</v>
      </c>
      <c r="BB81" s="96">
        <f t="shared" si="3"/>
        <v>-1.6666667025990853E-3</v>
      </c>
      <c r="BF81" s="23"/>
      <c r="BG81" s="23"/>
      <c r="BH81" s="92">
        <f>BE76*BK81</f>
        <v>14000.000001042687</v>
      </c>
      <c r="BI81" s="8">
        <v>14000</v>
      </c>
      <c r="BJ81" s="8">
        <f>IF(BI81&lt;BE77,BE79,(LOG((BE80)/0.002))/(LOG(BE78/BE77)))</f>
        <v>15</v>
      </c>
      <c r="BK81" s="93">
        <f>(BI81/BE76)+0.002*(BI81/BE77)^BJ81</f>
        <v>1.3592233010721055E-3</v>
      </c>
      <c r="BN81" s="97"/>
      <c r="BO81" s="94"/>
      <c r="BP81" s="94"/>
      <c r="BQ81" s="94"/>
      <c r="BR81" s="94"/>
      <c r="BU81" s="23"/>
      <c r="BV81" s="23"/>
      <c r="BW81" s="92">
        <f>BT76*BZ81</f>
        <v>17500.000892659686</v>
      </c>
      <c r="BX81" s="8">
        <v>17500</v>
      </c>
      <c r="BY81" s="8">
        <f>IF(BX81&lt;BT77,BT79,(LOG((BT80)/0.002))/(LOG(BT78/BT77)))</f>
        <v>12</v>
      </c>
      <c r="BZ81" s="93">
        <f>(BX81/BT76)+0.002*(BX81/BT77)^BY81</f>
        <v>1.666666751681875E-3</v>
      </c>
      <c r="CC81" s="97"/>
      <c r="CD81" s="94"/>
      <c r="CE81" s="94"/>
      <c r="CF81" s="94"/>
      <c r="CG81" s="92">
        <f t="shared" si="4"/>
        <v>-17500.000892659686</v>
      </c>
      <c r="CH81" s="9">
        <f t="shared" si="5"/>
        <v>-17500</v>
      </c>
      <c r="CI81" s="96">
        <f t="shared" si="6"/>
        <v>-1.666666751681875E-3</v>
      </c>
    </row>
    <row r="82" spans="1:87">
      <c r="A82" s="30"/>
      <c r="B82" s="30"/>
      <c r="C82" s="30"/>
      <c r="D82" s="30"/>
      <c r="E82" s="30"/>
      <c r="F82" s="30"/>
      <c r="G82" s="30"/>
      <c r="H82" s="30"/>
      <c r="I82" s="30"/>
      <c r="J82" s="30"/>
      <c r="K82" s="30"/>
      <c r="L82" s="9"/>
      <c r="M82" s="91"/>
      <c r="N82" s="112"/>
      <c r="O82" s="91"/>
      <c r="P82" s="91"/>
      <c r="Q82" s="11"/>
      <c r="U82" s="9"/>
      <c r="Y82" s="23"/>
      <c r="Z82" s="23"/>
      <c r="AA82" s="92">
        <f>X76*AD82</f>
        <v>16000.000000261363</v>
      </c>
      <c r="AB82" s="8">
        <v>16000</v>
      </c>
      <c r="AC82" s="8">
        <f>IF(AB82&lt;X77,X79,(LOG((X80)/0.002))/(LOG(X78/X77)))</f>
        <v>17</v>
      </c>
      <c r="AD82" s="93">
        <f>(AB82/X76)+0.002*(AB82/X77)^AC82</f>
        <v>1.5533980582778022E-3</v>
      </c>
      <c r="AG82" s="97"/>
      <c r="AH82" s="94"/>
      <c r="AI82" s="94"/>
      <c r="AJ82" s="94"/>
      <c r="AK82" s="94"/>
      <c r="AN82" s="23"/>
      <c r="AO82" s="23"/>
      <c r="AP82" s="92">
        <f>AM76*AS82</f>
        <v>20000.00214077517</v>
      </c>
      <c r="AQ82" s="8">
        <v>20000</v>
      </c>
      <c r="AR82" s="8">
        <f>IF(AQ82&lt;AM77,AM79,(LOG((AM80)/0.002))/(LOG(AM78/AM77)))</f>
        <v>13</v>
      </c>
      <c r="AS82" s="93">
        <f>(AQ82/AM76)+0.002*(AQ82/AM77)^AR82</f>
        <v>1.9047621086452542E-3</v>
      </c>
      <c r="AV82" s="97"/>
      <c r="AW82" s="94"/>
      <c r="AX82" s="94"/>
      <c r="AY82" s="94"/>
      <c r="AZ82" s="92">
        <f t="shared" si="1"/>
        <v>-20000.00214077517</v>
      </c>
      <c r="BA82" s="9">
        <f t="shared" si="2"/>
        <v>-20000</v>
      </c>
      <c r="BB82" s="96">
        <f t="shared" si="3"/>
        <v>-1.9047621086452542E-3</v>
      </c>
      <c r="BF82" s="23"/>
      <c r="BG82" s="23"/>
      <c r="BH82" s="92">
        <f>BE76*BK82</f>
        <v>16000.000007727398</v>
      </c>
      <c r="BI82" s="8">
        <v>16000</v>
      </c>
      <c r="BJ82" s="8">
        <f>IF(BI82&lt;BE77,BE79,(LOG((BE80)/0.002))/(LOG(BE78/BE77)))</f>
        <v>15</v>
      </c>
      <c r="BK82" s="93">
        <f>(BI82/BE76)+0.002*(BI82/BE77)^BJ82</f>
        <v>1.5533980590026601E-3</v>
      </c>
      <c r="BN82" s="97"/>
      <c r="BO82" s="94"/>
      <c r="BP82" s="94"/>
      <c r="BQ82" s="94"/>
      <c r="BR82" s="94"/>
      <c r="BU82" s="23"/>
      <c r="BV82" s="23"/>
      <c r="BW82" s="92">
        <f>BT76*BZ82</f>
        <v>20000.004431893194</v>
      </c>
      <c r="BX82" s="8">
        <v>20000</v>
      </c>
      <c r="BY82" s="8">
        <f>IF(BX82&lt;BT77,BT79,(LOG((BT80)/0.002))/(LOG(BT78/BT77)))</f>
        <v>12</v>
      </c>
      <c r="BZ82" s="93">
        <f>(BX82/BT76)+0.002*(BX82/BT77)^BY82</f>
        <v>1.9047623268469709E-3</v>
      </c>
      <c r="CC82" s="97"/>
      <c r="CD82" s="94"/>
      <c r="CE82" s="94"/>
      <c r="CF82" s="94"/>
      <c r="CG82" s="92">
        <f t="shared" si="4"/>
        <v>-20000.004431893194</v>
      </c>
      <c r="CH82" s="9">
        <f t="shared" si="5"/>
        <v>-20000</v>
      </c>
      <c r="CI82" s="96">
        <f t="shared" si="6"/>
        <v>-1.9047623268469709E-3</v>
      </c>
    </row>
    <row r="83" spans="1:87">
      <c r="A83" s="30"/>
      <c r="B83" s="30"/>
      <c r="C83" s="30"/>
      <c r="D83" s="30"/>
      <c r="E83" s="30"/>
      <c r="F83" s="30"/>
      <c r="G83" s="30"/>
      <c r="H83" s="30"/>
      <c r="I83" s="30"/>
      <c r="J83" s="30"/>
      <c r="K83" s="30"/>
      <c r="L83" s="9"/>
      <c r="M83" s="91"/>
      <c r="N83" s="112"/>
      <c r="O83" s="91"/>
      <c r="P83" s="91"/>
      <c r="Q83" s="11"/>
      <c r="U83" s="30"/>
      <c r="V83" s="30"/>
      <c r="W83" s="30"/>
      <c r="X83" s="98"/>
      <c r="Y83" s="101"/>
      <c r="Z83" s="30"/>
      <c r="AA83" s="92">
        <f>X76*AD83</f>
        <v>18000.000001935678</v>
      </c>
      <c r="AB83" s="8">
        <v>18000</v>
      </c>
      <c r="AC83" s="8">
        <f>IF(AB83&lt;X77,X79,(LOG((X80)/0.002))/(LOG(X78/X77)))</f>
        <v>17</v>
      </c>
      <c r="AD83" s="93">
        <f>(AB83/X76)+0.002*(AB83/X77)^AC83</f>
        <v>1.7475728157219106E-3</v>
      </c>
      <c r="AG83" s="97"/>
      <c r="AH83" s="94"/>
      <c r="AI83" s="94"/>
      <c r="AJ83" s="94"/>
      <c r="AK83" s="94"/>
      <c r="AL83" s="30"/>
      <c r="AM83" s="98"/>
      <c r="AN83" s="101"/>
      <c r="AO83" s="30"/>
      <c r="AP83" s="92">
        <f>AM76*AS83</f>
        <v>22500.00989814589</v>
      </c>
      <c r="AQ83" s="8">
        <v>22500</v>
      </c>
      <c r="AR83" s="8">
        <f>IF(AQ83&lt;AM77,AM79,(LOG((AM80)/0.002))/(LOG(AM78/AM77)))</f>
        <v>13</v>
      </c>
      <c r="AS83" s="93">
        <f>(AQ83/AM76)+0.002*(AQ83/AM77)^AR83</f>
        <v>2.1428580855377037E-3</v>
      </c>
      <c r="AV83" s="97"/>
      <c r="AW83" s="94"/>
      <c r="AX83" s="94"/>
      <c r="AY83" s="94"/>
      <c r="AZ83" s="92">
        <f t="shared" si="1"/>
        <v>-22500.00989814589</v>
      </c>
      <c r="BA83" s="9">
        <f t="shared" si="2"/>
        <v>-22500</v>
      </c>
      <c r="BB83" s="96">
        <f t="shared" si="3"/>
        <v>-2.1428580855377037E-3</v>
      </c>
      <c r="BD83" s="30"/>
      <c r="BE83" s="98"/>
      <c r="BF83" s="101"/>
      <c r="BG83" s="30"/>
      <c r="BH83" s="92">
        <f>BE76*BK83</f>
        <v>18000.000045219014</v>
      </c>
      <c r="BI83" s="8">
        <v>18000</v>
      </c>
      <c r="BJ83" s="8">
        <f>IF(BI83&lt;BE77,BE79,(LOG((BE80)/0.002))/(LOG(BE78/BE77)))</f>
        <v>15</v>
      </c>
      <c r="BK83" s="93">
        <f>(BI83/BE76)+0.002*(BI83/BE77)^BJ83</f>
        <v>1.7475728199241763E-3</v>
      </c>
      <c r="BN83" s="97"/>
      <c r="BO83" s="94"/>
      <c r="BP83" s="94"/>
      <c r="BQ83" s="94"/>
      <c r="BR83" s="94"/>
      <c r="BS83" s="30"/>
      <c r="BT83" s="98"/>
      <c r="BU83" s="101"/>
      <c r="BV83" s="30"/>
      <c r="BW83" s="92">
        <f>BT76*BZ83</f>
        <v>22500.018214596497</v>
      </c>
      <c r="BX83" s="8">
        <v>22500</v>
      </c>
      <c r="BY83" s="8">
        <f>IF(BX83&lt;BT77,BT79,(LOG((BT80)/0.002))/(LOG(BT78/BT77)))</f>
        <v>12</v>
      </c>
      <c r="BZ83" s="93">
        <f>(BX83/BT76)+0.002*(BX83/BT77)^BY83</f>
        <v>2.1428588775806189E-3</v>
      </c>
      <c r="CC83" s="97"/>
      <c r="CD83" s="94"/>
      <c r="CE83" s="94"/>
      <c r="CF83" s="94"/>
      <c r="CG83" s="92">
        <f t="shared" si="4"/>
        <v>-22500.018214596497</v>
      </c>
      <c r="CH83" s="9">
        <f t="shared" si="5"/>
        <v>-22500</v>
      </c>
      <c r="CI83" s="96">
        <f t="shared" si="6"/>
        <v>-2.1428588775806189E-3</v>
      </c>
    </row>
    <row r="84" spans="1:87">
      <c r="G84" s="30"/>
      <c r="H84" s="30"/>
      <c r="I84" s="30"/>
      <c r="J84" s="30"/>
      <c r="K84" s="30"/>
      <c r="L84" s="9"/>
      <c r="M84" s="91"/>
      <c r="N84" s="112"/>
      <c r="O84" s="91"/>
      <c r="P84" s="91"/>
      <c r="Q84" s="11"/>
      <c r="U84" s="9"/>
      <c r="V84" s="30"/>
      <c r="W84" s="30"/>
      <c r="X84" s="98"/>
      <c r="Y84" s="104"/>
      <c r="Z84" s="30"/>
      <c r="AA84" s="92">
        <f>X76*AD84</f>
        <v>20000.000011606746</v>
      </c>
      <c r="AB84" s="8">
        <v>20000</v>
      </c>
      <c r="AC84" s="8">
        <f>IF(AB84&lt;X77,X79,(LOG((X80)/0.002))/(LOG(X78/X77)))</f>
        <v>17</v>
      </c>
      <c r="AD84" s="93">
        <f>(AB84/X76)+0.002*(AB84/X77)^AC84</f>
        <v>1.9417475739424025E-3</v>
      </c>
      <c r="AG84" s="97"/>
      <c r="AH84" s="94"/>
      <c r="AI84" s="94"/>
      <c r="AJ84" s="94"/>
      <c r="AK84" s="94"/>
      <c r="AL84" s="30"/>
      <c r="AM84" s="98"/>
      <c r="AN84" s="104"/>
      <c r="AO84" s="30"/>
      <c r="AP84" s="92">
        <f>AM76*AS84</f>
        <v>25000.038940473489</v>
      </c>
      <c r="AQ84" s="8">
        <v>25000</v>
      </c>
      <c r="AR84" s="8">
        <f>IF(AQ84&lt;AM77,AM79,(LOG((AM80)/0.002))/(LOG(AM78/AM77)))</f>
        <v>13</v>
      </c>
      <c r="AS84" s="93">
        <f>(AQ84/AM76)+0.002*(AQ84/AM77)^AR84</f>
        <v>2.3809560895689036E-3</v>
      </c>
      <c r="AV84" s="97"/>
      <c r="AW84" s="94"/>
      <c r="AX84" s="94"/>
      <c r="AY84" s="94"/>
      <c r="AZ84" s="92">
        <f t="shared" si="1"/>
        <v>-25000.038940473489</v>
      </c>
      <c r="BA84" s="9">
        <f t="shared" si="2"/>
        <v>-25000</v>
      </c>
      <c r="BB84" s="96">
        <f t="shared" si="3"/>
        <v>-2.3809560895689036E-3</v>
      </c>
      <c r="BD84" s="30"/>
      <c r="BE84" s="98"/>
      <c r="BF84" s="104"/>
      <c r="BG84" s="30"/>
      <c r="BH84" s="92">
        <f>BE76*BK84</f>
        <v>20000.000219625854</v>
      </c>
      <c r="BI84" s="8">
        <v>20000</v>
      </c>
      <c r="BJ84" s="8">
        <f>IF(BI84&lt;BE77,BE79,(LOG((BE80)/0.002))/(LOG(BE78/BE77)))</f>
        <v>15</v>
      </c>
      <c r="BK84" s="93">
        <f>(BI84/BE76)+0.002*(BI84/BE77)^BJ84</f>
        <v>1.9417475941384324E-3</v>
      </c>
      <c r="BN84" s="97"/>
      <c r="BO84" s="94"/>
      <c r="BP84" s="94"/>
      <c r="BQ84" s="94"/>
      <c r="BR84" s="94"/>
      <c r="BS84" s="30"/>
      <c r="BT84" s="98"/>
      <c r="BU84" s="104"/>
      <c r="BV84" s="30"/>
      <c r="BW84" s="92">
        <f>BT76*BZ84</f>
        <v>25000.064492534049</v>
      </c>
      <c r="BX84" s="8">
        <v>25000</v>
      </c>
      <c r="BY84" s="8">
        <f>IF(BX84&lt;BT77,BT79,(LOG((BT80)/0.002))/(LOG(BT78/BT77)))</f>
        <v>12</v>
      </c>
      <c r="BZ84" s="93">
        <f>(BX84/BT76)+0.002*(BX84/BT77)^BY84</f>
        <v>2.3809585230984811E-3</v>
      </c>
      <c r="CC84" s="97"/>
      <c r="CD84" s="94"/>
      <c r="CE84" s="94"/>
      <c r="CF84" s="94"/>
      <c r="CG84" s="92">
        <f t="shared" si="4"/>
        <v>-25000.064492534049</v>
      </c>
      <c r="CH84" s="9">
        <f t="shared" si="5"/>
        <v>-25000</v>
      </c>
      <c r="CI84" s="96">
        <f t="shared" si="6"/>
        <v>-2.3809585230984811E-3</v>
      </c>
    </row>
    <row r="85" spans="1:87">
      <c r="A85" s="30"/>
      <c r="B85" s="30"/>
      <c r="C85" s="30"/>
      <c r="D85" s="30"/>
      <c r="E85" s="30"/>
      <c r="F85" s="30"/>
      <c r="G85" s="30"/>
      <c r="H85" s="30"/>
      <c r="I85" s="30"/>
      <c r="J85" s="30"/>
      <c r="K85" s="30"/>
      <c r="L85" s="9"/>
      <c r="M85" s="91"/>
      <c r="N85" s="112"/>
      <c r="O85" s="91"/>
      <c r="P85" s="91"/>
      <c r="Q85" s="11"/>
      <c r="U85" s="9"/>
      <c r="Y85" s="23"/>
      <c r="Z85" s="23"/>
      <c r="AA85" s="92">
        <f>X76*AD85</f>
        <v>22000.000058665952</v>
      </c>
      <c r="AB85" s="8">
        <v>22000</v>
      </c>
      <c r="AC85" s="8">
        <f>IF(AB85&lt;X77,X79,(LOG((X80)/0.002))/(LOG(X78/X77)))</f>
        <v>17</v>
      </c>
      <c r="AD85" s="93">
        <f>(AB85/X76)+0.002*(AB85/X77)^AC85</f>
        <v>2.1359223357928108E-3</v>
      </c>
      <c r="AG85" s="97"/>
      <c r="AH85" s="94"/>
      <c r="AI85" s="94"/>
      <c r="AJ85" s="94"/>
      <c r="AK85" s="94"/>
      <c r="AN85" s="23"/>
      <c r="AO85" s="23"/>
      <c r="AP85" s="92">
        <f>AM76*AS85</f>
        <v>27500.134433075684</v>
      </c>
      <c r="AQ85" s="8">
        <v>27500</v>
      </c>
      <c r="AR85" s="8">
        <f>IF(AQ85&lt;AM77,AM79,(LOG((AM80)/0.002))/(LOG(AM78/AM77)))</f>
        <v>13</v>
      </c>
      <c r="AS85" s="93">
        <f>(AQ85/AM76)+0.002*(AQ85/AM77)^AR85</f>
        <v>2.6190604221976842E-3</v>
      </c>
      <c r="AV85" s="97"/>
      <c r="AW85" s="94"/>
      <c r="AX85" s="94"/>
      <c r="AY85" s="94"/>
      <c r="AZ85" s="92">
        <f t="shared" si="1"/>
        <v>-27500.134433075684</v>
      </c>
      <c r="BA85" s="9">
        <f t="shared" si="2"/>
        <v>-27500</v>
      </c>
      <c r="BB85" s="96">
        <f t="shared" si="3"/>
        <v>-2.6190604221976842E-3</v>
      </c>
      <c r="BF85" s="23"/>
      <c r="BG85" s="23"/>
      <c r="BH85" s="92">
        <f>BE76*BK85</f>
        <v>22000.000917431698</v>
      </c>
      <c r="BI85" s="8">
        <v>22000</v>
      </c>
      <c r="BJ85" s="8">
        <f>IF(BI85&lt;BE77,BE79,(LOG((BE80)/0.002))/(LOG(BE78/BE77)))</f>
        <v>15</v>
      </c>
      <c r="BK85" s="93">
        <f>(BI85/BE76)+0.002*(BI85/BE77)^BJ85</f>
        <v>2.1359224191681262E-3</v>
      </c>
      <c r="BN85" s="97"/>
      <c r="BO85" s="94"/>
      <c r="BP85" s="94"/>
      <c r="BQ85" s="94"/>
      <c r="BR85" s="94"/>
      <c r="BU85" s="23"/>
      <c r="BV85" s="23"/>
      <c r="BW85" s="92">
        <f>BT76*BZ85</f>
        <v>27500.202405198943</v>
      </c>
      <c r="BX85" s="8">
        <v>27500</v>
      </c>
      <c r="BY85" s="8">
        <f>IF(BX85&lt;BT77,BT79,(LOG((BT80)/0.002))/(LOG(BT78/BT77)))</f>
        <v>12</v>
      </c>
      <c r="BZ85" s="93">
        <f>(BX85/BT76)+0.002*(BX85/BT77)^BY85</f>
        <v>2.6190668957332326E-3</v>
      </c>
      <c r="CC85" s="97"/>
      <c r="CD85" s="94"/>
      <c r="CE85" s="94"/>
      <c r="CF85" s="94"/>
      <c r="CG85" s="92">
        <f t="shared" si="4"/>
        <v>-27500.202405198943</v>
      </c>
      <c r="CH85" s="9">
        <f t="shared" si="5"/>
        <v>-27500</v>
      </c>
      <c r="CI85" s="96">
        <f t="shared" si="6"/>
        <v>-2.6190668957332326E-3</v>
      </c>
    </row>
    <row r="86" spans="1:87">
      <c r="A86" s="30"/>
      <c r="B86" s="30"/>
      <c r="C86" s="30"/>
      <c r="D86" s="30"/>
      <c r="E86" s="30"/>
      <c r="F86" s="30"/>
      <c r="G86" s="30"/>
      <c r="H86" s="30"/>
      <c r="I86" s="30"/>
      <c r="J86" s="30"/>
      <c r="K86" s="30"/>
      <c r="L86" s="9"/>
      <c r="M86" s="91"/>
      <c r="N86" s="112"/>
      <c r="O86" s="91"/>
      <c r="P86" s="91"/>
      <c r="Q86" s="11"/>
      <c r="U86" s="9"/>
      <c r="Y86" s="23"/>
      <c r="Z86" s="23"/>
      <c r="AA86" s="92">
        <f>X76*AD86</f>
        <v>24000.000257508549</v>
      </c>
      <c r="AB86" s="8">
        <v>24000</v>
      </c>
      <c r="AC86" s="8">
        <f>IF(AB86&lt;X77,X79,(LOG((X80)/0.002))/(LOG(X78/X77)))</f>
        <v>17</v>
      </c>
      <c r="AD86" s="93">
        <f>(AB86/X76)+0.002*(AB86/X77)^AC86</f>
        <v>2.3300971123794709E-3</v>
      </c>
      <c r="AG86" s="97"/>
      <c r="AH86" s="94"/>
      <c r="AI86" s="94"/>
      <c r="AJ86" s="94"/>
      <c r="AK86" s="94"/>
      <c r="AN86" s="23"/>
      <c r="AO86" s="23"/>
      <c r="AP86" s="92">
        <f>AM76*AS86</f>
        <v>30000.416636607712</v>
      </c>
      <c r="AQ86" s="8">
        <v>30000</v>
      </c>
      <c r="AR86" s="8">
        <f>IF(AQ86&lt;AM77,AM79,(LOG((AM80)/0.002))/(LOG(AM78/AM77)))</f>
        <v>13</v>
      </c>
      <c r="AS86" s="93">
        <f>(AQ86/AM76)+0.002*(AQ86/AM77)^AR86</f>
        <v>2.857182536819782E-3</v>
      </c>
      <c r="AV86" s="97"/>
      <c r="AW86" s="94"/>
      <c r="AX86" s="94"/>
      <c r="AY86" s="94"/>
      <c r="AZ86" s="92">
        <f t="shared" si="1"/>
        <v>-30000.416636607712</v>
      </c>
      <c r="BA86" s="9">
        <f t="shared" si="2"/>
        <v>-30000</v>
      </c>
      <c r="BB86" s="96">
        <f t="shared" si="3"/>
        <v>-2.857182536819782E-3</v>
      </c>
      <c r="BF86" s="23"/>
      <c r="BG86" s="23"/>
      <c r="BH86" s="92">
        <f>BE76*BK86</f>
        <v>24000.00338378028</v>
      </c>
      <c r="BI86" s="8">
        <v>24000</v>
      </c>
      <c r="BJ86" s="8">
        <f>IF(BI86&lt;BE77,BE79,(LOG((BE80)/0.002))/(LOG(BE78/BE77)))</f>
        <v>15</v>
      </c>
      <c r="BK86" s="93">
        <f>(BI86/BE76)+0.002*(BI86/BE77)^BJ86</f>
        <v>2.3300974159009983E-3</v>
      </c>
      <c r="BN86" s="97"/>
      <c r="BO86" s="94"/>
      <c r="BP86" s="94"/>
      <c r="BQ86" s="94"/>
      <c r="BR86" s="94"/>
      <c r="BU86" s="23"/>
      <c r="BV86" s="23"/>
      <c r="BW86" s="92">
        <f>BT76*BZ86</f>
        <v>30000.57502191174</v>
      </c>
      <c r="BX86" s="8">
        <v>30000</v>
      </c>
      <c r="BY86" s="8">
        <f>IF(BX86&lt;BT77,BT79,(LOG((BT80)/0.002))/(LOG(BT78/BT77)))</f>
        <v>12</v>
      </c>
      <c r="BZ86" s="93">
        <f>(BX86/BT76)+0.002*(BX86/BT77)^BY86</f>
        <v>2.8571976211344513E-3</v>
      </c>
      <c r="CC86" s="97"/>
      <c r="CD86" s="94"/>
      <c r="CE86" s="94"/>
      <c r="CF86" s="94"/>
      <c r="CG86" s="92">
        <f t="shared" si="4"/>
        <v>-30000.57502191174</v>
      </c>
      <c r="CH86" s="9">
        <f t="shared" si="5"/>
        <v>-30000</v>
      </c>
      <c r="CI86" s="96">
        <f t="shared" si="6"/>
        <v>-2.8571976211344513E-3</v>
      </c>
    </row>
    <row r="87" spans="1:87">
      <c r="A87" s="30"/>
      <c r="B87" s="30"/>
      <c r="C87" s="30"/>
      <c r="D87" s="30"/>
      <c r="E87" s="30"/>
      <c r="F87" s="30"/>
      <c r="G87" s="30"/>
      <c r="H87" s="30"/>
      <c r="I87" s="30"/>
      <c r="J87" s="30"/>
      <c r="K87" s="30"/>
      <c r="L87" s="9"/>
      <c r="M87" s="91"/>
      <c r="N87" s="112"/>
      <c r="O87" s="91"/>
      <c r="P87" s="91"/>
      <c r="Q87" s="11"/>
      <c r="U87" s="9"/>
      <c r="Y87" s="23"/>
      <c r="Z87" s="23"/>
      <c r="AA87" s="92">
        <f>X76*AD87</f>
        <v>26000.001004031768</v>
      </c>
      <c r="AB87" s="8">
        <v>26000</v>
      </c>
      <c r="AC87" s="8">
        <f>IF(AB87&lt;X77,X79,(LOG((X80)/0.002))/(LOG(X78/X77)))</f>
        <v>17</v>
      </c>
      <c r="AD87" s="93">
        <f>(AB87/X76)+0.002*(AB87/X77)^AC87</f>
        <v>2.5242719421390068E-3</v>
      </c>
      <c r="AG87" s="97"/>
      <c r="AH87" s="94"/>
      <c r="AI87" s="94"/>
      <c r="AJ87" s="94"/>
      <c r="AK87" s="94"/>
      <c r="AN87" s="23"/>
      <c r="AO87" s="23"/>
      <c r="AP87" s="92">
        <f>AM76*AS87</f>
        <v>32501.179410005745</v>
      </c>
      <c r="AQ87" s="8">
        <v>32500</v>
      </c>
      <c r="AR87" s="8">
        <f>IF(AQ87&lt;AM77,AM79,(LOG((AM80)/0.002))/(LOG(AM78/AM77)))</f>
        <v>13</v>
      </c>
      <c r="AS87" s="93">
        <f>(AQ87/AM76)+0.002*(AQ87/AM77)^AR87</f>
        <v>3.0953504200005471E-3</v>
      </c>
      <c r="AV87" s="97"/>
      <c r="AW87" s="94"/>
      <c r="AX87" s="94"/>
      <c r="AY87" s="94"/>
      <c r="AZ87" s="92">
        <f t="shared" si="1"/>
        <v>-32501.179410005745</v>
      </c>
      <c r="BA87" s="9">
        <f t="shared" si="2"/>
        <v>-32500</v>
      </c>
      <c r="BB87" s="96">
        <f t="shared" si="3"/>
        <v>-3.0953504200005471E-3</v>
      </c>
      <c r="BF87" s="23"/>
      <c r="BG87" s="23"/>
      <c r="BH87" s="92">
        <f>BE76*BK87</f>
        <v>26000.011241745502</v>
      </c>
      <c r="BI87" s="8">
        <v>26000</v>
      </c>
      <c r="BJ87" s="8">
        <f>IF(BI87&lt;BE77,BE79,(LOG((BE80)/0.002))/(LOG(BE78/BE77)))</f>
        <v>15</v>
      </c>
      <c r="BK87" s="93">
        <f>(BI87/BE76)+0.002*(BI87/BE77)^BJ87</f>
        <v>2.5242729360917962E-3</v>
      </c>
      <c r="BN87" s="97"/>
      <c r="BO87" s="94"/>
      <c r="BP87" s="94"/>
      <c r="BQ87" s="94"/>
      <c r="BR87" s="94"/>
      <c r="BU87" s="23"/>
      <c r="BV87" s="23"/>
      <c r="BW87" s="92">
        <f>BT76*BZ87</f>
        <v>32501.502552548027</v>
      </c>
      <c r="BX87" s="8">
        <v>32500</v>
      </c>
      <c r="BY87" s="8">
        <f>IF(BX87&lt;BT77,BT79,(LOG((BT80)/0.002))/(LOG(BT78/BT77)))</f>
        <v>12</v>
      </c>
      <c r="BZ87" s="93">
        <f>(BX87/BT76)+0.002*(BX87/BT77)^BY87</f>
        <v>3.0953811954807643E-3</v>
      </c>
      <c r="CC87" s="97"/>
      <c r="CD87" s="94"/>
      <c r="CE87" s="94"/>
      <c r="CF87" s="94"/>
      <c r="CG87" s="92">
        <f t="shared" si="4"/>
        <v>-32501.502552548027</v>
      </c>
      <c r="CH87" s="9">
        <f t="shared" si="5"/>
        <v>-32500</v>
      </c>
      <c r="CI87" s="96">
        <f t="shared" si="6"/>
        <v>-3.0953811954807643E-3</v>
      </c>
    </row>
    <row r="88" spans="1:87">
      <c r="A88" s="30"/>
      <c r="B88" s="30"/>
      <c r="C88" s="30"/>
      <c r="D88" s="30"/>
      <c r="E88" s="30"/>
      <c r="F88" s="30"/>
      <c r="G88" s="30"/>
      <c r="H88" s="30"/>
      <c r="I88" s="30"/>
      <c r="J88" s="30"/>
      <c r="K88" s="30"/>
      <c r="L88" s="9"/>
      <c r="M88" s="91"/>
      <c r="N88" s="112"/>
      <c r="O88" s="91"/>
      <c r="P88" s="91"/>
      <c r="Q88" s="11"/>
      <c r="U88" s="9"/>
      <c r="Y88" s="23"/>
      <c r="Z88" s="23"/>
      <c r="AA88" s="92">
        <f>X76*AD88</f>
        <v>28000.00353905305</v>
      </c>
      <c r="AB88" s="8">
        <v>28000</v>
      </c>
      <c r="AC88" s="8">
        <f>IF(AB88&lt;X77,X79,(LOG((X80)/0.002))/(LOG(X78/X77)))</f>
        <v>17</v>
      </c>
      <c r="AD88" s="93">
        <f>(AB88/X76)+0.002*(AB88/X77)^AC88</f>
        <v>2.7184469455391312E-3</v>
      </c>
      <c r="AG88" s="97"/>
      <c r="AH88" s="94"/>
      <c r="AI88" s="96"/>
      <c r="AN88" s="23"/>
      <c r="AO88" s="23"/>
      <c r="AP88" s="92">
        <f>AM76*AS88</f>
        <v>35003.090762908236</v>
      </c>
      <c r="AQ88" s="8">
        <v>35000</v>
      </c>
      <c r="AR88" s="8">
        <f>IF(AQ88&lt;AM77,AM79,(LOG((AM80)/0.002))/(LOG(AM78/AM77)))</f>
        <v>13</v>
      </c>
      <c r="AS88" s="93">
        <f>(AQ88/AM76)+0.002*(AQ88/AM77)^AR88</f>
        <v>3.3336276917055462E-3</v>
      </c>
      <c r="AV88" s="97"/>
      <c r="AW88" s="94"/>
      <c r="AX88" s="96"/>
      <c r="AZ88" s="92">
        <f t="shared" si="1"/>
        <v>-35003.090762908236</v>
      </c>
      <c r="BA88" s="9">
        <f t="shared" si="2"/>
        <v>-35000</v>
      </c>
      <c r="BB88" s="96">
        <f t="shared" si="3"/>
        <v>-3.3336276917055462E-3</v>
      </c>
      <c r="BF88" s="23"/>
      <c r="BG88" s="23"/>
      <c r="BH88" s="92">
        <f>BE76*BK88</f>
        <v>28000.03416677596</v>
      </c>
      <c r="BI88" s="8">
        <v>28000</v>
      </c>
      <c r="BJ88" s="8">
        <f>IF(BI88&lt;BE77,BE79,(LOG((BE80)/0.002))/(LOG(BE78/BE77)))</f>
        <v>15</v>
      </c>
      <c r="BK88" s="93">
        <f>(BI88/BE76)+0.002*(BI88/BE77)^BJ88</f>
        <v>2.7184499191044622E-3</v>
      </c>
      <c r="BN88" s="97"/>
      <c r="BO88" s="94"/>
      <c r="BP88" s="96"/>
      <c r="BU88" s="23"/>
      <c r="BV88" s="23"/>
      <c r="BW88" s="92">
        <f>BT76*BZ88</f>
        <v>35003.6563340742</v>
      </c>
      <c r="BX88" s="8">
        <v>35000</v>
      </c>
      <c r="BY88" s="8">
        <f>IF(BX88&lt;BT77,BT79,(LOG((BT80)/0.002))/(LOG(BT78/BT77)))</f>
        <v>12</v>
      </c>
      <c r="BZ88" s="93">
        <f>(BX88/BT76)+0.002*(BX88/BT77)^BY88</f>
        <v>3.3336815556261144E-3</v>
      </c>
      <c r="CC88" s="97"/>
      <c r="CD88" s="94"/>
      <c r="CE88" s="96"/>
      <c r="CG88" s="92">
        <f t="shared" si="4"/>
        <v>-35003.6563340742</v>
      </c>
      <c r="CH88" s="9">
        <f t="shared" si="5"/>
        <v>-35000</v>
      </c>
      <c r="CI88" s="96">
        <f t="shared" si="6"/>
        <v>-3.3336815556261144E-3</v>
      </c>
    </row>
    <row r="89" spans="1:87">
      <c r="A89" s="30"/>
      <c r="B89" s="30"/>
      <c r="C89" s="30"/>
      <c r="D89" s="30"/>
      <c r="E89" s="30"/>
      <c r="F89" s="30"/>
      <c r="G89" s="30"/>
      <c r="H89" s="30"/>
      <c r="I89" s="30"/>
      <c r="J89" s="30"/>
      <c r="K89" s="30"/>
      <c r="L89" s="9"/>
      <c r="M89" s="91"/>
      <c r="N89" s="112"/>
      <c r="O89" s="91"/>
      <c r="P89" s="91"/>
      <c r="Q89" s="11"/>
      <c r="U89" s="9"/>
      <c r="Y89" s="23"/>
      <c r="Z89" s="23"/>
      <c r="AA89" s="92">
        <f>X76*AD89</f>
        <v>30000.011435676741</v>
      </c>
      <c r="AB89" s="8">
        <v>30000</v>
      </c>
      <c r="AC89" s="8">
        <f>IF(AB89&lt;X77,X79,(LOG((X80)/0.002))/(LOG(X78/X77)))</f>
        <v>17</v>
      </c>
      <c r="AD89" s="93">
        <f>(AB89/X76)+0.002*(AB89/X77)^AC89</f>
        <v>2.9126224694831786E-3</v>
      </c>
      <c r="AG89" s="97"/>
      <c r="AH89" s="94"/>
      <c r="AI89" s="96"/>
      <c r="AN89" s="23"/>
      <c r="AO89" s="23"/>
      <c r="AP89" s="92">
        <f>AM76*AS89</f>
        <v>37507.578575745545</v>
      </c>
      <c r="AQ89" s="8">
        <v>37500</v>
      </c>
      <c r="AR89" s="8">
        <f>IF(AQ89&lt;AM77,AM79,(LOG((AM80)/0.002))/(LOG(AM78/AM77)))</f>
        <v>13</v>
      </c>
      <c r="AS89" s="93">
        <f>(AQ89/AM76)+0.002*(AQ89/AM77)^AR89</f>
        <v>3.5721503405471951E-3</v>
      </c>
      <c r="AV89" s="97"/>
      <c r="AW89" s="94"/>
      <c r="AX89" s="96"/>
      <c r="AZ89" s="92">
        <f t="shared" si="1"/>
        <v>-37507.578575745545</v>
      </c>
      <c r="BA89" s="9">
        <f t="shared" si="2"/>
        <v>-37500</v>
      </c>
      <c r="BB89" s="96">
        <f t="shared" si="3"/>
        <v>-3.5721503405471951E-3</v>
      </c>
      <c r="BF89" s="23"/>
      <c r="BG89" s="23"/>
      <c r="BH89" s="92">
        <f>BE76*BK89</f>
        <v>30000.096172819973</v>
      </c>
      <c r="BI89" s="8">
        <v>30000</v>
      </c>
      <c r="BJ89" s="8">
        <f>IF(BI89&lt;BE77,BE79,(LOG((BE80)/0.002))/(LOG(BE78/BE77)))</f>
        <v>15</v>
      </c>
      <c r="BK89" s="93">
        <f>(BI89/BE76)+0.002*(BI89/BE77)^BJ89</f>
        <v>2.9126306963902886E-3</v>
      </c>
      <c r="BN89" s="97"/>
      <c r="BO89" s="94"/>
      <c r="BP89" s="96"/>
      <c r="BU89" s="23"/>
      <c r="BV89" s="23"/>
      <c r="BW89" s="92">
        <f>BT76*BZ89</f>
        <v>37508.367670114058</v>
      </c>
      <c r="BX89" s="8">
        <v>37500</v>
      </c>
      <c r="BY89" s="8">
        <f>IF(BX89&lt;BT77,BT79,(LOG((BT80)/0.002))/(LOG(BT78/BT77)))</f>
        <v>12</v>
      </c>
      <c r="BZ89" s="93">
        <f>(BX89/BT76)+0.002*(BX89/BT77)^BY89</f>
        <v>3.5722254923918149E-3</v>
      </c>
      <c r="CC89" s="97"/>
      <c r="CD89" s="94"/>
      <c r="CE89" s="96"/>
      <c r="CG89" s="92">
        <f t="shared" si="4"/>
        <v>-37508.367670114058</v>
      </c>
      <c r="CH89" s="9">
        <f t="shared" si="5"/>
        <v>-37500</v>
      </c>
      <c r="CI89" s="96">
        <f t="shared" si="6"/>
        <v>-3.5722254923918149E-3</v>
      </c>
    </row>
    <row r="90" spans="1:87">
      <c r="A90" s="30"/>
      <c r="B90" s="30"/>
      <c r="C90" s="30"/>
      <c r="D90" s="30"/>
      <c r="E90" s="30"/>
      <c r="F90" s="30"/>
      <c r="G90" s="30"/>
      <c r="H90" s="30"/>
      <c r="I90" s="30"/>
      <c r="J90" s="30"/>
      <c r="K90" s="30"/>
      <c r="L90" s="9"/>
      <c r="M90" s="91"/>
      <c r="N90" s="112"/>
      <c r="O90" s="91"/>
      <c r="P90" s="91"/>
      <c r="Q90" s="11"/>
      <c r="U90" s="9"/>
      <c r="Y90" s="23"/>
      <c r="Z90" s="23"/>
      <c r="AA90" s="92">
        <f>X76*AD90</f>
        <v>32000.034257066567</v>
      </c>
      <c r="AB90" s="8">
        <v>32000</v>
      </c>
      <c r="AC90" s="8">
        <f>IF(AB90&lt;X77,X79,(LOG((X80)/0.002))/(LOG(X78/X77)))</f>
        <v>17</v>
      </c>
      <c r="AD90" s="93">
        <f>(AB90/X76)+0.002*(AB90/X77)^AC90</f>
        <v>3.1067994424336474E-3</v>
      </c>
      <c r="AG90" s="97"/>
      <c r="AH90" s="94"/>
      <c r="AK90" s="8"/>
      <c r="AN90" s="23"/>
      <c r="AO90" s="23"/>
      <c r="AP90" s="92">
        <f>AM76*AS90</f>
        <v>40017.537230187525</v>
      </c>
      <c r="AQ90" s="8">
        <v>40000</v>
      </c>
      <c r="AR90" s="8">
        <f>IF(AQ90&lt;AM77,AM79,(LOG((AM80)/0.002))/(LOG(AM78/AM77)))</f>
        <v>13</v>
      </c>
      <c r="AS90" s="93">
        <f>(AQ90/AM76)+0.002*(AQ90/AM77)^AR90</f>
        <v>3.8111940219226217E-3</v>
      </c>
      <c r="AV90" s="97"/>
      <c r="AW90" s="94"/>
      <c r="AZ90" s="92">
        <f t="shared" si="1"/>
        <v>-40017.537230187525</v>
      </c>
      <c r="BA90" s="9">
        <f t="shared" si="2"/>
        <v>-40000</v>
      </c>
      <c r="BB90" s="96">
        <f t="shared" si="3"/>
        <v>-3.8111940219226217E-3</v>
      </c>
      <c r="BF90" s="23"/>
      <c r="BG90" s="23"/>
      <c r="BH90" s="92">
        <f>BE76*BK90</f>
        <v>32000.25321137092</v>
      </c>
      <c r="BI90" s="8">
        <v>32000</v>
      </c>
      <c r="BJ90" s="8">
        <f>IF(BI90&lt;BE77,BE79,(LOG((BE80)/0.002))/(LOG(BE78/BE77)))</f>
        <v>15</v>
      </c>
      <c r="BK90" s="93">
        <f>(BI90/BE76)+0.002*(BI90/BE77)^BJ90</f>
        <v>3.1068207001330992E-3</v>
      </c>
      <c r="BN90" s="97"/>
      <c r="BO90" s="94"/>
      <c r="BR90" s="8"/>
      <c r="BU90" s="23"/>
      <c r="BV90" s="23"/>
      <c r="BW90" s="92">
        <f>BT76*BZ90</f>
        <v>40018.153034519266</v>
      </c>
      <c r="BX90" s="8">
        <v>40000</v>
      </c>
      <c r="BY90" s="8">
        <f>IF(BX90&lt;BT77,BT79,(LOG((BT80)/0.002))/(LOG(BT78/BT77)))</f>
        <v>12</v>
      </c>
      <c r="BZ90" s="93">
        <f>(BX90/BT76)+0.002*(BX90/BT77)^BY90</f>
        <v>3.811252669954216E-3</v>
      </c>
      <c r="CC90" s="97"/>
      <c r="CD90" s="94"/>
      <c r="CG90" s="92">
        <f t="shared" si="4"/>
        <v>-40018.153034519266</v>
      </c>
      <c r="CH90" s="9">
        <f t="shared" si="5"/>
        <v>-40000</v>
      </c>
      <c r="CI90" s="96">
        <f t="shared" si="6"/>
        <v>-3.811252669954216E-3</v>
      </c>
    </row>
    <row r="91" spans="1:87">
      <c r="A91" s="30"/>
      <c r="B91" s="30"/>
      <c r="C91" s="30"/>
      <c r="D91" s="30"/>
      <c r="E91" s="30"/>
      <c r="F91" s="30"/>
      <c r="G91" s="30"/>
      <c r="H91" s="30"/>
      <c r="I91" s="30"/>
      <c r="J91" s="30"/>
      <c r="K91" s="30"/>
      <c r="L91" s="9"/>
      <c r="M91" s="91"/>
      <c r="N91" s="112"/>
      <c r="O91" s="91"/>
      <c r="P91" s="91"/>
      <c r="Q91" s="11"/>
      <c r="U91" s="9"/>
      <c r="Y91" s="23"/>
      <c r="Z91" s="23"/>
      <c r="AA91" s="92">
        <f>X76*AD91</f>
        <v>34000.096015672891</v>
      </c>
      <c r="AB91" s="8">
        <v>34000</v>
      </c>
      <c r="AC91" s="8">
        <f>IF(AB91&lt;X77,X79,(LOG((X80)/0.002))/(LOG(X78/X77)))</f>
        <v>17</v>
      </c>
      <c r="AD91" s="93">
        <f>(AB91/X76)+0.002*(AB91/X77)^AC91</f>
        <v>3.3009801956963968E-3</v>
      </c>
      <c r="AG91" s="97"/>
      <c r="AH91" s="94"/>
      <c r="AN91" s="23"/>
      <c r="AO91" s="23"/>
      <c r="AP91" s="92">
        <f>AM76*AS91</f>
        <v>42538.568895826742</v>
      </c>
      <c r="AQ91" s="8">
        <v>42500</v>
      </c>
      <c r="AR91" s="8">
        <f>IF(AQ91&lt;AM77,AM79,(LOG((AM80)/0.002))/(LOG(AM78/AM77)))</f>
        <v>13</v>
      </c>
      <c r="AS91" s="93">
        <f>(AQ91/AM76)+0.002*(AQ91/AM77)^AR91</f>
        <v>4.0512922757930227E-3</v>
      </c>
      <c r="AV91" s="97"/>
      <c r="AW91" s="94"/>
      <c r="AZ91" s="92">
        <f t="shared" si="1"/>
        <v>-42538.568895826742</v>
      </c>
      <c r="BA91" s="9">
        <f t="shared" si="2"/>
        <v>-42500</v>
      </c>
      <c r="BB91" s="96">
        <f t="shared" si="3"/>
        <v>-4.0512922757930227E-3</v>
      </c>
      <c r="BF91" s="23"/>
      <c r="BG91" s="23"/>
      <c r="BH91" s="92">
        <f>BE76*BK91</f>
        <v>34000.628662109375</v>
      </c>
      <c r="BI91" s="8">
        <v>34000</v>
      </c>
      <c r="BJ91" s="8">
        <f>IF(BI91&lt;BE77,BE79,(LOG((BE80)/0.002))/(LOG(BE78/BE77)))</f>
        <v>15</v>
      </c>
      <c r="BK91" s="93">
        <f>(BI91/BE76)+0.002*(BI91/BE77)^BJ91</f>
        <v>3.3010319089426575E-3</v>
      </c>
      <c r="BN91" s="97"/>
      <c r="BO91" s="94"/>
      <c r="BU91" s="23"/>
      <c r="BV91" s="23"/>
      <c r="BW91" s="92">
        <f>BT76*BZ91</f>
        <v>42537.57478447185</v>
      </c>
      <c r="BX91" s="8">
        <v>42500</v>
      </c>
      <c r="BY91" s="8">
        <f>IF(BX91&lt;BT77,BT79,(LOG((BT80)/0.002))/(LOG(BT78/BT77)))</f>
        <v>12</v>
      </c>
      <c r="BZ91" s="93">
        <f>(BX91/BT76)+0.002*(BX91/BT77)^BY91</f>
        <v>4.0511975985211288E-3</v>
      </c>
      <c r="CC91" s="97"/>
      <c r="CD91" s="94"/>
      <c r="CG91" s="92">
        <f t="shared" si="4"/>
        <v>-42537.57478447185</v>
      </c>
      <c r="CH91" s="9">
        <f t="shared" si="5"/>
        <v>-42500</v>
      </c>
      <c r="CI91" s="96">
        <f t="shared" si="6"/>
        <v>-4.0511975985211288E-3</v>
      </c>
    </row>
    <row r="92" spans="1:87">
      <c r="A92" s="27"/>
      <c r="B92" s="28"/>
      <c r="C92" s="27"/>
      <c r="D92" s="27"/>
      <c r="E92" s="27"/>
      <c r="F92" s="27"/>
      <c r="G92" s="27"/>
      <c r="H92" s="27"/>
      <c r="I92" s="27"/>
      <c r="J92" s="27"/>
      <c r="K92" s="27"/>
      <c r="L92" s="9"/>
      <c r="M92" s="91"/>
      <c r="N92" s="112"/>
      <c r="O92" s="91"/>
      <c r="P92" s="91"/>
      <c r="Q92" s="11"/>
      <c r="U92" s="9"/>
      <c r="Y92" s="23"/>
      <c r="Z92" s="23"/>
      <c r="AA92" s="92">
        <f>X76*AD92</f>
        <v>36000.253713194281</v>
      </c>
      <c r="AB92" s="8">
        <v>36000</v>
      </c>
      <c r="AC92" s="8">
        <f>IF(AB92&lt;X77,X79,(LOG((X80)/0.002))/(LOG(X78/X77)))</f>
        <v>17</v>
      </c>
      <c r="AD92" s="93">
        <f>(AB92/X76)+0.002*(AB92/X77)^AC92</f>
        <v>3.4951702634169208E-3</v>
      </c>
      <c r="AG92" s="97"/>
      <c r="AH92" s="94"/>
      <c r="AN92" s="23"/>
      <c r="AO92" s="23"/>
      <c r="AP92" s="92">
        <f>AM76*AS92</f>
        <v>45081.085611122435</v>
      </c>
      <c r="AQ92" s="8">
        <v>45000</v>
      </c>
      <c r="AR92" s="8">
        <f>IF(AQ92&lt;AM77,AM79,(LOG((AM80)/0.002))/(LOG(AM78/AM77)))</f>
        <v>13</v>
      </c>
      <c r="AS92" s="93">
        <f>(AQ92/AM76)+0.002*(AQ92/AM77)^AR92</f>
        <v>4.2934367248688033E-3</v>
      </c>
      <c r="AV92" s="97"/>
      <c r="AW92" s="94"/>
      <c r="AZ92" s="92">
        <f t="shared" si="1"/>
        <v>-45081.085611122435</v>
      </c>
      <c r="BA92" s="9">
        <f t="shared" si="2"/>
        <v>-45000</v>
      </c>
      <c r="BB92" s="96">
        <f t="shared" si="3"/>
        <v>-4.2934367248688033E-3</v>
      </c>
      <c r="BF92" s="23"/>
      <c r="BG92" s="23"/>
      <c r="BH92" s="92">
        <f>BE76*BK92</f>
        <v>36001.481736712158</v>
      </c>
      <c r="BI92" s="8">
        <v>36000</v>
      </c>
      <c r="BJ92" s="8">
        <f>IF(BI92&lt;BE77,BE79,(LOG((BE80)/0.002))/(LOG(BE78/BE77)))</f>
        <v>15</v>
      </c>
      <c r="BK92" s="93">
        <f>(BI92/BE76)+0.002*(BI92/BE77)^BJ92</f>
        <v>3.4952894890011806E-3</v>
      </c>
      <c r="BN92" s="97"/>
      <c r="BO92" s="94"/>
      <c r="BU92" s="23"/>
      <c r="BV92" s="23"/>
      <c r="BW92" s="92">
        <f>BT76*BZ92</f>
        <v>45074.606987254811</v>
      </c>
      <c r="BX92" s="8">
        <v>45000</v>
      </c>
      <c r="BY92" s="8">
        <f>IF(BX92&lt;BT77,BT79,(LOG((BT80)/0.002))/(LOG(BT78/BT77)))</f>
        <v>12</v>
      </c>
      <c r="BZ92" s="93">
        <f>(BX92/BT76)+0.002*(BX92/BT77)^BY92</f>
        <v>4.2928197130718869E-3</v>
      </c>
      <c r="CC92" s="97"/>
      <c r="CD92" s="94"/>
      <c r="CG92" s="92">
        <f t="shared" si="4"/>
        <v>-45074.606987254811</v>
      </c>
      <c r="CH92" s="9">
        <f t="shared" si="5"/>
        <v>-45000</v>
      </c>
      <c r="CI92" s="96">
        <f t="shared" si="6"/>
        <v>-4.2928197130718869E-3</v>
      </c>
    </row>
    <row r="93" spans="1:87">
      <c r="A93" s="27"/>
      <c r="B93" s="27"/>
      <c r="C93" s="27"/>
      <c r="D93" s="27"/>
      <c r="E93" s="27"/>
      <c r="F93" s="27"/>
      <c r="G93" s="27"/>
      <c r="H93" s="27"/>
      <c r="I93" s="27"/>
      <c r="J93" s="27"/>
      <c r="K93" s="27"/>
      <c r="L93" s="9"/>
      <c r="M93" s="91"/>
      <c r="N93" s="112"/>
      <c r="O93" s="91"/>
      <c r="P93" s="91"/>
      <c r="Q93" s="11"/>
      <c r="U93" s="9"/>
      <c r="Y93" s="23"/>
      <c r="Z93" s="23"/>
      <c r="AA93" s="92">
        <f>X76*AD93</f>
        <v>38000.636094561742</v>
      </c>
      <c r="AB93" s="8">
        <v>38000</v>
      </c>
      <c r="AC93" s="8">
        <f>IF(AB93&lt;X77,X79,(LOG((X80)/0.002))/(LOG(X78/X77)))</f>
        <v>17</v>
      </c>
      <c r="AD93" s="93">
        <f>(AB93/X76)+0.002*(AB93/X77)^AC93</f>
        <v>3.6893821451030816E-3</v>
      </c>
      <c r="AG93" s="97"/>
      <c r="AH93" s="94"/>
      <c r="AN93" s="23"/>
      <c r="AO93" s="23"/>
      <c r="AP93" s="92">
        <f>AM76*AS93</f>
        <v>47663.756308746422</v>
      </c>
      <c r="AQ93" s="8">
        <v>47500</v>
      </c>
      <c r="AR93" s="8">
        <f>IF(AQ93&lt;AM77,AM79,(LOG((AM80)/0.002))/(LOG(AM78/AM77)))</f>
        <v>13</v>
      </c>
      <c r="AS93" s="93">
        <f>(AQ93/AM76)+0.002*(AQ93/AM77)^AR93</f>
        <v>4.5394053627377546E-3</v>
      </c>
      <c r="AV93" s="97"/>
      <c r="AW93" s="94"/>
      <c r="AZ93" s="92">
        <f t="shared" si="1"/>
        <v>-47663.756308746422</v>
      </c>
      <c r="BA93" s="9">
        <f t="shared" si="2"/>
        <v>-47500</v>
      </c>
      <c r="BB93" s="96">
        <f t="shared" si="3"/>
        <v>-4.5394053627377546E-3</v>
      </c>
      <c r="BF93" s="23"/>
      <c r="BG93" s="23"/>
      <c r="BH93" s="92">
        <f>BE76*BK93</f>
        <v>38003.334168000169</v>
      </c>
      <c r="BI93" s="8">
        <v>38000</v>
      </c>
      <c r="BJ93" s="8">
        <f>IF(BI93&lt;BE77,BE79,(LOG((BE80)/0.002))/(LOG(BE78/BE77)))</f>
        <v>15</v>
      </c>
      <c r="BK93" s="93">
        <f>(BI93/BE76)+0.002*(BI93/BE77)^BJ93</f>
        <v>3.6896440939805991E-3</v>
      </c>
      <c r="BN93" s="97"/>
      <c r="BO93" s="94"/>
      <c r="BU93" s="23"/>
      <c r="BV93" s="23"/>
      <c r="BW93" s="92">
        <f>BT76*BZ93</f>
        <v>47642.742287777568</v>
      </c>
      <c r="BX93" s="8">
        <v>47500</v>
      </c>
      <c r="BY93" s="8">
        <f>IF(BX93&lt;BT77,BT79,(LOG((BT80)/0.002))/(LOG(BT78/BT77)))</f>
        <v>12</v>
      </c>
      <c r="BZ93" s="93">
        <f>(BX93/BT76)+0.002*(BX93/BT77)^BY93</f>
        <v>4.5374040274073872E-3</v>
      </c>
      <c r="CC93" s="97"/>
      <c r="CD93" s="94"/>
      <c r="CG93" s="92">
        <f t="shared" si="4"/>
        <v>-47642.742287777568</v>
      </c>
      <c r="CH93" s="9">
        <f t="shared" si="5"/>
        <v>-47500</v>
      </c>
      <c r="CI93" s="96">
        <f t="shared" si="6"/>
        <v>-4.5374040274073872E-3</v>
      </c>
    </row>
    <row r="94" spans="1:87">
      <c r="A94" s="27"/>
      <c r="B94" s="38"/>
      <c r="C94" s="38"/>
      <c r="D94" s="38"/>
      <c r="E94" s="38"/>
      <c r="F94" s="38"/>
      <c r="G94" s="38"/>
      <c r="H94" s="38"/>
      <c r="I94" s="38"/>
      <c r="J94" s="38"/>
      <c r="K94" s="27"/>
      <c r="L94" s="9"/>
      <c r="M94" s="91"/>
      <c r="N94" s="112"/>
      <c r="O94" s="91"/>
      <c r="P94" s="91"/>
      <c r="Q94" s="11"/>
      <c r="U94" s="9"/>
      <c r="Y94" s="23"/>
      <c r="Z94" s="23"/>
      <c r="AA94" s="92">
        <f>X76*AD94</f>
        <v>40001.521319362299</v>
      </c>
      <c r="AB94" s="8">
        <v>40000</v>
      </c>
      <c r="AC94" s="8">
        <f>IF(AB94&lt;X77,X79,(LOG((X80)/0.002))/(LOG(X78/X77)))</f>
        <v>17</v>
      </c>
      <c r="AD94" s="93">
        <f>(AB94/X76)+0.002*(AB94/X77)^AC94</f>
        <v>3.8836428465400287E-3</v>
      </c>
      <c r="AG94" s="97"/>
      <c r="AH94" s="94"/>
      <c r="AN94" s="23"/>
      <c r="AO94" s="23"/>
      <c r="AP94" s="92">
        <f>AM76*AS94</f>
        <v>50319.000358786601</v>
      </c>
      <c r="AQ94" s="8">
        <v>50000</v>
      </c>
      <c r="AR94" s="8">
        <f>IF(AQ94&lt;AM77,AM79,(LOG((AM80)/0.002))/(LOG(AM78/AM77)))</f>
        <v>13</v>
      </c>
      <c r="AS94" s="93">
        <f>(AQ94/AM76)+0.002*(AQ94/AM77)^AR94</f>
        <v>4.792285748455867E-3</v>
      </c>
      <c r="AV94" s="97"/>
      <c r="AW94" s="94"/>
      <c r="AZ94" s="92">
        <f t="shared" si="1"/>
        <v>-50319.000358786601</v>
      </c>
      <c r="BA94" s="9">
        <f t="shared" si="2"/>
        <v>-50000</v>
      </c>
      <c r="BB94" s="96">
        <f t="shared" si="3"/>
        <v>-4.792285748455867E-3</v>
      </c>
      <c r="BF94" s="23"/>
      <c r="BG94" s="23"/>
      <c r="BH94" s="92">
        <f>BE76*BK94</f>
        <v>40007.196700008804</v>
      </c>
      <c r="BI94" s="8">
        <v>40000</v>
      </c>
      <c r="BJ94" s="8">
        <f>IF(BI94&lt;BE77,BE79,(LOG((BE80)/0.002))/(LOG(BE78/BE77)))</f>
        <v>15</v>
      </c>
      <c r="BK94" s="93">
        <f>(BI94/BE76)+0.002*(BI94/BE77)^BJ94</f>
        <v>3.8841938543697865E-3</v>
      </c>
      <c r="BN94" s="97"/>
      <c r="BO94" s="94"/>
      <c r="BU94" s="23"/>
      <c r="BV94" s="23"/>
      <c r="BW94" s="92">
        <f>BT76*BZ94</f>
        <v>50264.161419461991</v>
      </c>
      <c r="BX94" s="8">
        <v>50000</v>
      </c>
      <c r="BY94" s="8">
        <f>IF(BX94&lt;BT77,BT79,(LOG((BT80)/0.002))/(LOG(BT78/BT77)))</f>
        <v>12</v>
      </c>
      <c r="BZ94" s="93">
        <f>(BX94/BT76)+0.002*(BX94/BT77)^BY94</f>
        <v>4.7870629923297131E-3</v>
      </c>
      <c r="CC94" s="97"/>
      <c r="CD94" s="94"/>
      <c r="CG94" s="92">
        <f t="shared" si="4"/>
        <v>-50264.161419461991</v>
      </c>
      <c r="CH94" s="9">
        <f t="shared" si="5"/>
        <v>-50000</v>
      </c>
      <c r="CI94" s="96">
        <f t="shared" si="6"/>
        <v>-4.7870629923297131E-3</v>
      </c>
    </row>
    <row r="95" spans="1:87">
      <c r="A95" s="30"/>
      <c r="B95" s="30"/>
      <c r="C95" s="30"/>
      <c r="D95" s="30"/>
      <c r="E95" s="82"/>
      <c r="F95" s="82"/>
      <c r="G95" s="82"/>
      <c r="H95" s="82"/>
      <c r="I95" s="82"/>
      <c r="J95" s="82"/>
      <c r="K95" s="30"/>
      <c r="L95" s="19"/>
      <c r="M95" s="91"/>
      <c r="N95" s="112"/>
      <c r="O95" s="91"/>
      <c r="P95" s="91"/>
      <c r="Q95" s="11"/>
      <c r="V95" s="19"/>
      <c r="W95" s="19"/>
      <c r="Y95" s="23"/>
      <c r="Z95" s="23"/>
      <c r="AA95" s="92">
        <f>X76*AD95</f>
        <v>42003.48689184562</v>
      </c>
      <c r="AB95" s="8">
        <v>42000</v>
      </c>
      <c r="AC95" s="8">
        <f>IF(AB95&lt;X77,X79,(LOG((X80)/0.002))/(LOG(X78/X77)))</f>
        <v>17</v>
      </c>
      <c r="AD95" s="93">
        <f>(AB95/X76)+0.002*(AB95/X77)^AC95</f>
        <v>4.0780084361015162E-3</v>
      </c>
      <c r="AG95" s="97"/>
      <c r="AH95" s="94"/>
      <c r="AL95" s="19"/>
      <c r="AN95" s="23"/>
      <c r="AO95" s="23"/>
      <c r="AP95" s="92">
        <f>AM76*AS95</f>
        <v>53101.522752946752</v>
      </c>
      <c r="AQ95" s="8">
        <v>52500</v>
      </c>
      <c r="AR95" s="8">
        <f>IF(AQ95&lt;AM77,AM79,(LOG((AM80)/0.002))/(LOG(AM78/AM77)))</f>
        <v>13</v>
      </c>
      <c r="AS95" s="93">
        <f>(AQ95/AM76)+0.002*(AQ95/AM77)^AR95</f>
        <v>5.0572878812330238E-3</v>
      </c>
      <c r="AV95" s="97"/>
      <c r="AW95" s="94"/>
      <c r="AZ95" s="92">
        <f t="shared" si="1"/>
        <v>-53101.522752946752</v>
      </c>
      <c r="BA95" s="9">
        <f t="shared" si="2"/>
        <v>-52500</v>
      </c>
      <c r="BB95" s="96">
        <f t="shared" si="3"/>
        <v>-5.0572878812330238E-3</v>
      </c>
      <c r="BD95" s="19"/>
      <c r="BF95" s="23"/>
      <c r="BG95" s="23"/>
      <c r="BH95" s="92">
        <f>BE76*BK95</f>
        <v>42014.961422447072</v>
      </c>
      <c r="BI95" s="8">
        <v>42000</v>
      </c>
      <c r="BJ95" s="8">
        <f>IF(BI95&lt;BE77,BE79,(LOG((BE80)/0.002))/(LOG(BE78/BE77)))</f>
        <v>15</v>
      </c>
      <c r="BK95" s="93">
        <f>(BI95/BE76)+0.002*(BI95/BE77)^BJ95</f>
        <v>4.0791224681987447E-3</v>
      </c>
      <c r="BN95" s="97"/>
      <c r="BO95" s="94"/>
      <c r="BS95" s="19"/>
      <c r="BU95" s="23"/>
      <c r="BV95" s="23"/>
      <c r="BW95" s="92">
        <f>BT76*BZ95</f>
        <v>52974.395956231783</v>
      </c>
      <c r="BX95" s="8">
        <v>52500</v>
      </c>
      <c r="BY95" s="8">
        <f>IF(BX95&lt;BT77,BT79,(LOG((BT80)/0.002))/(LOG(BT78/BT77)))</f>
        <v>12</v>
      </c>
      <c r="BZ95" s="93">
        <f>(BX95/BT76)+0.002*(BX95/BT77)^BY95</f>
        <v>5.0451805672601701E-3</v>
      </c>
      <c r="CC95" s="97"/>
      <c r="CD95" s="94"/>
      <c r="CG95" s="92">
        <f t="shared" si="4"/>
        <v>-52974.395956231783</v>
      </c>
      <c r="CH95" s="9">
        <f t="shared" si="5"/>
        <v>-52500</v>
      </c>
      <c r="CI95" s="96">
        <f t="shared" si="6"/>
        <v>-5.0451805672601701E-3</v>
      </c>
    </row>
    <row r="96" spans="1:87">
      <c r="A96" s="30"/>
      <c r="B96" s="30"/>
      <c r="C96" s="30"/>
      <c r="D96" s="30"/>
      <c r="E96" s="30"/>
      <c r="F96" s="30"/>
      <c r="G96" s="30"/>
      <c r="H96" s="30"/>
      <c r="I96" s="30"/>
      <c r="J96" s="30"/>
      <c r="K96" s="30"/>
      <c r="L96" s="19"/>
      <c r="M96" s="91"/>
      <c r="N96" s="112"/>
      <c r="O96" s="91"/>
      <c r="P96" s="91"/>
      <c r="Q96" s="11"/>
      <c r="V96" s="19"/>
      <c r="W96" s="19"/>
      <c r="Y96" s="23"/>
      <c r="Z96" s="23"/>
      <c r="AA96" s="92">
        <f>X76*AD96</f>
        <v>44007.689463510731</v>
      </c>
      <c r="AB96" s="8">
        <v>44000</v>
      </c>
      <c r="AC96" s="8">
        <f>IF(AB96&lt;X77,X79,(LOG((X80)/0.002))/(LOG(X78/X77)))</f>
        <v>17</v>
      </c>
      <c r="AD96" s="93">
        <f>(AB96/X76)+0.002*(AB96/X77)^AC96</f>
        <v>4.2725912100495854E-3</v>
      </c>
      <c r="AG96" s="97"/>
      <c r="AH96" s="94"/>
      <c r="AI96" s="94"/>
      <c r="AJ96" s="94"/>
      <c r="AK96" s="94"/>
      <c r="AL96" s="19"/>
      <c r="AN96" s="23"/>
      <c r="AO96" s="23"/>
      <c r="AP96" s="92">
        <f>AM76*AS96</f>
        <v>56101.275756020041</v>
      </c>
      <c r="AQ96" s="8">
        <v>55000</v>
      </c>
      <c r="AR96" s="8">
        <f>IF(AQ96&lt;AM77,AM79,(LOG((AM80)/0.002))/(LOG(AM78/AM77)))</f>
        <v>13</v>
      </c>
      <c r="AS96" s="93">
        <f>(AQ96/AM76)+0.002*(AQ96/AM77)^AR96</f>
        <v>5.3429786434304799E-3</v>
      </c>
      <c r="AV96" s="97"/>
      <c r="AW96" s="94"/>
      <c r="AX96" s="94"/>
      <c r="AY96" s="94"/>
      <c r="AZ96" s="92">
        <f t="shared" si="1"/>
        <v>-56101.275756020041</v>
      </c>
      <c r="BA96" s="9">
        <f t="shared" si="2"/>
        <v>-55000</v>
      </c>
      <c r="BB96" s="96">
        <f t="shared" si="3"/>
        <v>-5.3429786434304799E-3</v>
      </c>
      <c r="BD96" s="19"/>
      <c r="BF96" s="23"/>
      <c r="BG96" s="23"/>
      <c r="BH96" s="92">
        <f>BE76*BK96</f>
        <v>44030.062401937612</v>
      </c>
      <c r="BI96" s="8">
        <v>44000</v>
      </c>
      <c r="BJ96" s="8">
        <f>IF(BI96&lt;BE77,BE79,(LOG((BE80)/0.002))/(LOG(BE78/BE77)))</f>
        <v>15</v>
      </c>
      <c r="BK96" s="93">
        <f>(BI96/BE76)+0.002*(BI96/BE77)^BJ96</f>
        <v>4.2747633399939427E-3</v>
      </c>
      <c r="BN96" s="97"/>
      <c r="BO96" s="94"/>
      <c r="BP96" s="94"/>
      <c r="BQ96" s="94"/>
      <c r="BR96" s="94"/>
      <c r="BS96" s="19"/>
      <c r="BU96" s="23"/>
      <c r="BV96" s="23"/>
      <c r="BW96" s="92">
        <f>BT76*BZ96</f>
        <v>55829.051694874375</v>
      </c>
      <c r="BX96" s="8">
        <v>55000</v>
      </c>
      <c r="BY96" s="8">
        <f>IF(BX96&lt;BT77,BT79,(LOG((BT80)/0.002))/(LOG(BT78/BT77)))</f>
        <v>12</v>
      </c>
      <c r="BZ96" s="93">
        <f>(BX96/BT76)+0.002*(BX96/BT77)^BY96</f>
        <v>5.3170525423689883E-3</v>
      </c>
      <c r="CC96" s="97"/>
      <c r="CD96" s="94"/>
      <c r="CE96" s="94"/>
      <c r="CF96" s="94"/>
      <c r="CG96" s="92">
        <f t="shared" si="4"/>
        <v>-55829.051694874375</v>
      </c>
      <c r="CH96" s="9">
        <f t="shared" si="5"/>
        <v>-55000</v>
      </c>
      <c r="CI96" s="96">
        <f t="shared" si="6"/>
        <v>-5.3170525423689883E-3</v>
      </c>
    </row>
    <row r="97" spans="1:87">
      <c r="A97" s="30"/>
      <c r="B97" s="30"/>
      <c r="C97" s="30"/>
      <c r="D97" s="30"/>
      <c r="E97" s="30"/>
      <c r="F97" s="30"/>
      <c r="G97" s="30"/>
      <c r="H97" s="30"/>
      <c r="I97" s="30"/>
      <c r="J97" s="30"/>
      <c r="K97" s="30"/>
      <c r="L97" s="19"/>
      <c r="M97" s="91"/>
      <c r="N97" s="112"/>
      <c r="O97" s="91"/>
      <c r="P97" s="91"/>
      <c r="Q97" s="11"/>
      <c r="V97" s="19"/>
      <c r="W97" s="19"/>
      <c r="Y97" s="23"/>
      <c r="Z97" s="23"/>
      <c r="AA97" s="92">
        <f>X76*AD97</f>
        <v>46016.371319292964</v>
      </c>
      <c r="AB97" s="8">
        <v>46000</v>
      </c>
      <c r="AC97" s="8">
        <f>IF(AB97&lt;X77,X79,(LOG((X80)/0.002))/(LOG(X78/X77)))</f>
        <v>17</v>
      </c>
      <c r="AD97" s="93">
        <f>(AB97/X76)+0.002*(AB97/X77)^AC97</f>
        <v>4.4676088659507734E-3</v>
      </c>
      <c r="AG97" s="97"/>
      <c r="AH97" s="94"/>
      <c r="AI97" s="94"/>
      <c r="AJ97" s="94"/>
      <c r="AK97" s="94"/>
      <c r="AL97" s="19"/>
      <c r="AN97" s="23"/>
      <c r="AO97" s="23"/>
      <c r="AP97" s="92">
        <f>AM76*AS97</f>
        <v>59462.741458730765</v>
      </c>
      <c r="AQ97" s="8">
        <v>57500</v>
      </c>
      <c r="AR97" s="8">
        <f>IF(AQ97&lt;AM77,AM79,(LOG((AM80)/0.002))/(LOG(AM78/AM77)))</f>
        <v>13</v>
      </c>
      <c r="AS97" s="93">
        <f>(AQ97/AM76)+0.002*(AQ97/AM77)^AR97</f>
        <v>5.6631182341648351E-3</v>
      </c>
      <c r="AV97" s="97"/>
      <c r="AW97" s="94"/>
      <c r="AX97" s="94"/>
      <c r="AY97" s="94"/>
      <c r="AZ97" s="92">
        <f t="shared" si="1"/>
        <v>-59462.741458730765</v>
      </c>
      <c r="BA97" s="9">
        <f t="shared" si="2"/>
        <v>-57500</v>
      </c>
      <c r="BB97" s="96">
        <f t="shared" si="3"/>
        <v>-5.6631182341648351E-3</v>
      </c>
      <c r="BD97" s="19"/>
      <c r="BF97" s="23"/>
      <c r="BG97" s="23"/>
      <c r="BH97" s="92">
        <f>BE76*BK97</f>
        <v>46058.559991498223</v>
      </c>
      <c r="BI97" s="8">
        <v>46000</v>
      </c>
      <c r="BJ97" s="8">
        <f>IF(BI97&lt;BE77,BE79,(LOG((BE80)/0.002))/(LOG(BE78/BE77)))</f>
        <v>15</v>
      </c>
      <c r="BK97" s="93">
        <f>(BI97/BE76)+0.002*(BI97/BE77)^BJ97</f>
        <v>4.4717048535435171E-3</v>
      </c>
      <c r="BN97" s="97"/>
      <c r="BO97" s="94"/>
      <c r="BP97" s="94"/>
      <c r="BQ97" s="94"/>
      <c r="BR97" s="94"/>
      <c r="BS97" s="19"/>
      <c r="BU97" s="23"/>
      <c r="BV97" s="23"/>
      <c r="BW97" s="92">
        <f>BT76*BZ97</f>
        <v>58913.329662338554</v>
      </c>
      <c r="BX97" s="8">
        <v>57500</v>
      </c>
      <c r="BY97" s="8">
        <f>IF(BX97&lt;BT77,BT79,(LOG((BT80)/0.002))/(LOG(BT78/BT77)))</f>
        <v>12</v>
      </c>
      <c r="BZ97" s="93">
        <f>(BX97/BT76)+0.002*(BX97/BT77)^BY97</f>
        <v>5.6107933011751007E-3</v>
      </c>
      <c r="CC97" s="97"/>
      <c r="CD97" s="94"/>
      <c r="CE97" s="94"/>
      <c r="CF97" s="94"/>
      <c r="CG97" s="92">
        <f t="shared" si="4"/>
        <v>-58913.329662338554</v>
      </c>
      <c r="CH97" s="9">
        <f t="shared" si="5"/>
        <v>-57500</v>
      </c>
      <c r="CI97" s="96">
        <f t="shared" si="6"/>
        <v>-5.6107933011751007E-3</v>
      </c>
    </row>
    <row r="98" spans="1:87">
      <c r="A98" s="30"/>
      <c r="B98" s="30"/>
      <c r="C98" s="30"/>
      <c r="D98" s="30"/>
      <c r="E98" s="30"/>
      <c r="F98" s="30"/>
      <c r="G98" s="30"/>
      <c r="H98" s="30"/>
      <c r="I98" s="30"/>
      <c r="J98" s="30"/>
      <c r="K98" s="30"/>
      <c r="L98" s="9"/>
      <c r="M98" s="91"/>
      <c r="N98" s="112"/>
      <c r="O98" s="91"/>
      <c r="P98" s="91"/>
      <c r="Q98" s="11"/>
      <c r="U98" s="9"/>
      <c r="Y98" s="23"/>
      <c r="Z98" s="23"/>
      <c r="AA98" s="92">
        <f>X76*AD98</f>
        <v>48033.75216034097</v>
      </c>
      <c r="AB98" s="8">
        <v>48000</v>
      </c>
      <c r="AC98" s="8">
        <f>IF(AB98&lt;X77,X79,(LOG((X80)/0.002))/(LOG(X78/X77)))</f>
        <v>17</v>
      </c>
      <c r="AD98" s="93">
        <f>(AB98/X76)+0.002*(AB98/X77)^AC98</f>
        <v>4.6634710835282492E-3</v>
      </c>
      <c r="AG98" s="97"/>
      <c r="AH98" s="94"/>
      <c r="AI98" s="94"/>
      <c r="AJ98" s="94"/>
      <c r="AK98" s="94"/>
      <c r="AN98" s="23"/>
      <c r="AO98" s="23"/>
      <c r="AP98" s="92">
        <f>AM76*AS98</f>
        <v>63413.08709036521</v>
      </c>
      <c r="AQ98" s="8">
        <v>60000</v>
      </c>
      <c r="AR98" s="8">
        <f>IF(AQ98&lt;AM77,AM79,(LOG((AM80)/0.002))/(LOG(AM78/AM77)))</f>
        <v>13</v>
      </c>
      <c r="AS98" s="93">
        <f>(AQ98/AM76)+0.002*(AQ98/AM77)^AR98</f>
        <v>6.0393416276538292E-3</v>
      </c>
      <c r="AV98" s="97"/>
      <c r="AW98" s="94"/>
      <c r="AX98" s="94"/>
      <c r="AY98" s="94"/>
      <c r="AZ98" s="92">
        <f t="shared" si="1"/>
        <v>-63413.08709036521</v>
      </c>
      <c r="BA98" s="9">
        <f t="shared" si="2"/>
        <v>-60000</v>
      </c>
      <c r="BB98" s="96">
        <f t="shared" si="3"/>
        <v>-6.0393416276538292E-3</v>
      </c>
      <c r="BF98" s="23"/>
      <c r="BG98" s="23"/>
      <c r="BH98" s="92">
        <f>BE76*BK98</f>
        <v>48110.879712301459</v>
      </c>
      <c r="BI98" s="8">
        <v>48000</v>
      </c>
      <c r="BJ98" s="8">
        <f>IF(BI98&lt;BE77,BE79,(LOG((BE80)/0.002))/(LOG(BE78/BE77)))</f>
        <v>15</v>
      </c>
      <c r="BK98" s="93">
        <f>(BI98/BE76)+0.002*(BI98/BE77)^BJ98</f>
        <v>4.6709591953690739E-3</v>
      </c>
      <c r="BN98" s="97"/>
      <c r="BO98" s="94"/>
      <c r="BP98" s="94"/>
      <c r="BQ98" s="94"/>
      <c r="BR98" s="94"/>
      <c r="BU98" s="23"/>
      <c r="BV98" s="23"/>
      <c r="BW98" s="92">
        <f>BT76*BZ98</f>
        <v>62355.289750476921</v>
      </c>
      <c r="BX98" s="8">
        <v>60000</v>
      </c>
      <c r="BY98" s="8">
        <f>IF(BX98&lt;BT77,BT79,(LOG((BT80)/0.002))/(LOG(BT78/BT77)))</f>
        <v>12</v>
      </c>
      <c r="BZ98" s="93">
        <f>(BX98/BT76)+0.002*(BX98/BT77)^BY98</f>
        <v>5.9385990238549451E-3</v>
      </c>
      <c r="CC98" s="97"/>
      <c r="CD98" s="94"/>
      <c r="CE98" s="94"/>
      <c r="CF98" s="94"/>
      <c r="CG98" s="92">
        <f t="shared" si="4"/>
        <v>-62355.289750476921</v>
      </c>
      <c r="CH98" s="9">
        <f t="shared" si="5"/>
        <v>-60000</v>
      </c>
      <c r="CI98" s="96">
        <f t="shared" si="6"/>
        <v>-5.9385990238549451E-3</v>
      </c>
    </row>
    <row r="99" spans="1:87">
      <c r="A99" s="30"/>
      <c r="B99" s="30"/>
      <c r="C99" s="30"/>
      <c r="D99" s="30"/>
      <c r="E99" s="30"/>
      <c r="F99" s="30"/>
      <c r="G99" s="30"/>
      <c r="H99" s="30"/>
      <c r="I99" s="30"/>
      <c r="J99" s="30"/>
      <c r="K99" s="30"/>
      <c r="L99" s="9"/>
      <c r="M99" s="91"/>
      <c r="N99" s="112"/>
      <c r="O99" s="91"/>
      <c r="P99" s="91"/>
      <c r="Q99" s="11"/>
      <c r="U99" s="9"/>
      <c r="Y99" s="23"/>
      <c r="Z99" s="23"/>
      <c r="AA99" s="92">
        <f>X76*AD99</f>
        <v>50067.560151353311</v>
      </c>
      <c r="AB99" s="8">
        <v>50000</v>
      </c>
      <c r="AC99" s="8">
        <f>IF(AB99&lt;X77,X79,(LOG((X80)/0.002))/(LOG(X78/X77)))</f>
        <v>17</v>
      </c>
      <c r="AD99" s="93">
        <f>(AB99/X76)+0.002*(AB99/X77)^AC99</f>
        <v>4.8609281700343022E-3</v>
      </c>
      <c r="AG99" s="97"/>
      <c r="AH99" s="94"/>
      <c r="AI99" s="94"/>
      <c r="AJ99" s="94"/>
      <c r="AK99" s="94"/>
      <c r="AN99" s="23"/>
      <c r="AO99" s="23"/>
      <c r="AP99" s="92">
        <f>AM76*AS99</f>
        <v>68302.582723601459</v>
      </c>
      <c r="AQ99" s="8">
        <v>62500</v>
      </c>
      <c r="AR99" s="8">
        <f>IF(AQ99&lt;AM77,AM79,(LOG((AM80)/0.002))/(LOG(AM78/AM77)))</f>
        <v>13</v>
      </c>
      <c r="AS99" s="93">
        <f>(AQ99/AM76)+0.002*(AQ99/AM77)^AR99</f>
        <v>6.5050078784382346E-3</v>
      </c>
      <c r="AV99" s="97"/>
      <c r="AW99" s="94"/>
      <c r="AX99" s="94"/>
      <c r="AY99" s="94"/>
      <c r="AZ99" s="92">
        <f t="shared" si="1"/>
        <v>-68302.582723601459</v>
      </c>
      <c r="BA99" s="9">
        <f t="shared" si="2"/>
        <v>-62500</v>
      </c>
      <c r="BB99" s="96">
        <f t="shared" si="3"/>
        <v>-6.5050078784382346E-3</v>
      </c>
      <c r="BF99" s="23"/>
      <c r="BG99" s="23"/>
      <c r="BH99" s="92">
        <f>BE76*BK99</f>
        <v>50204.542516507994</v>
      </c>
      <c r="BI99" s="8">
        <v>50000</v>
      </c>
      <c r="BJ99" s="8">
        <f>IF(BI99&lt;BE77,BE79,(LOG((BE80)/0.002))/(LOG(BE78/BE77)))</f>
        <v>15</v>
      </c>
      <c r="BK99" s="93">
        <f>(BI99/BE76)+0.002*(BI99/BE77)^BJ99</f>
        <v>4.8742274287871838E-3</v>
      </c>
      <c r="BN99" s="97"/>
      <c r="BO99" s="94"/>
      <c r="BP99" s="94"/>
      <c r="BQ99" s="94"/>
      <c r="BR99" s="94"/>
      <c r="BU99" s="23"/>
      <c r="BV99" s="23"/>
      <c r="BW99" s="92">
        <f>BT76*BZ99</f>
        <v>66344.05458261582</v>
      </c>
      <c r="BX99" s="8">
        <v>62500</v>
      </c>
      <c r="BY99" s="8">
        <f>IF(BX99&lt;BT77,BT79,(LOG((BT80)/0.002))/(LOG(BT78/BT77)))</f>
        <v>12</v>
      </c>
      <c r="BZ99" s="93">
        <f>(BX99/BT76)+0.002*(BX99/BT77)^BY99</f>
        <v>6.3184813888205538E-3</v>
      </c>
      <c r="CC99" s="97"/>
      <c r="CD99" s="94"/>
      <c r="CE99" s="94"/>
      <c r="CF99" s="94"/>
      <c r="CG99" s="92">
        <f t="shared" si="4"/>
        <v>-66344.05458261582</v>
      </c>
      <c r="CH99" s="9">
        <f t="shared" si="5"/>
        <v>-62500</v>
      </c>
      <c r="CI99" s="96">
        <f t="shared" si="6"/>
        <v>-6.3184813888205538E-3</v>
      </c>
    </row>
    <row r="100" spans="1:87">
      <c r="A100" s="30"/>
      <c r="B100" s="30"/>
      <c r="C100" s="30"/>
      <c r="D100" s="30"/>
      <c r="E100" s="30"/>
      <c r="F100" s="30"/>
      <c r="G100" s="30"/>
      <c r="H100" s="30"/>
      <c r="I100" s="30"/>
      <c r="J100" s="30"/>
      <c r="K100" s="30"/>
      <c r="L100" s="9"/>
      <c r="M100" s="91"/>
      <c r="N100" s="112"/>
      <c r="O100" s="91"/>
      <c r="P100" s="91"/>
      <c r="Q100" s="11"/>
      <c r="U100" s="9"/>
      <c r="Y100" s="23"/>
      <c r="Z100" s="23"/>
      <c r="AA100" s="92">
        <f>X76*AD100</f>
        <v>52131.600452300976</v>
      </c>
      <c r="AB100" s="8">
        <v>52000</v>
      </c>
      <c r="AC100" s="8">
        <f>IF(AB100&lt;X77,X79,(LOG((X80)/0.002))/(LOG(X78/X77)))</f>
        <v>17</v>
      </c>
      <c r="AD100" s="93">
        <f>(AB100/X76)+0.002*(AB100/X77)^AC100</f>
        <v>5.0613204322622306E-3</v>
      </c>
      <c r="AG100" s="97"/>
      <c r="AH100" s="94"/>
      <c r="AI100" s="94"/>
      <c r="AJ100" s="94"/>
      <c r="AK100" s="94"/>
      <c r="AN100" s="23"/>
      <c r="AO100" s="23"/>
      <c r="AP100" s="92">
        <f>AM76*AS100</f>
        <v>74661.726767045751</v>
      </c>
      <c r="AQ100" s="8">
        <v>65000</v>
      </c>
      <c r="AR100" s="8">
        <f>IF(AQ100&lt;AM77,AM79,(LOG((AM80)/0.002))/(LOG(AM78/AM77)))</f>
        <v>13</v>
      </c>
      <c r="AS100" s="93">
        <f>(AQ100/AM76)+0.002*(AQ100/AM77)^AR100</f>
        <v>7.1106406444805476E-3</v>
      </c>
      <c r="AV100" s="97"/>
      <c r="AW100" s="94"/>
      <c r="AX100" s="94"/>
      <c r="AY100" s="94"/>
      <c r="AZ100" s="92">
        <f t="shared" si="1"/>
        <v>-74661.726767045751</v>
      </c>
      <c r="BA100" s="9">
        <f t="shared" si="2"/>
        <v>-65000</v>
      </c>
      <c r="BB100" s="96">
        <f t="shared" si="3"/>
        <v>-7.1106406444805476E-3</v>
      </c>
      <c r="BF100" s="23"/>
      <c r="BG100" s="23"/>
      <c r="BH100" s="92">
        <f>BE76*BK100</f>
        <v>52368.369516705112</v>
      </c>
      <c r="BI100" s="8">
        <v>52000</v>
      </c>
      <c r="BJ100" s="8">
        <f>IF(BI100&lt;BE77,BE79,(LOG((BE80)/0.002))/(LOG(BE78/BE77)))</f>
        <v>15</v>
      </c>
      <c r="BK100" s="93">
        <f>(BI100/BE76)+0.002*(BI100/BE77)^BJ100</f>
        <v>5.0843077200684577E-3</v>
      </c>
      <c r="BN100" s="97"/>
      <c r="BO100" s="94"/>
      <c r="BP100" s="94"/>
      <c r="BQ100" s="94"/>
      <c r="BR100" s="94"/>
      <c r="BU100" s="23"/>
      <c r="BV100" s="23"/>
      <c r="BW100" s="92">
        <f>BT76*BZ100</f>
        <v>71154.455236700669</v>
      </c>
      <c r="BX100" s="8">
        <v>65000</v>
      </c>
      <c r="BY100" s="8">
        <f>IF(BX100&lt;BT77,BT79,(LOG((BT80)/0.002))/(LOG(BT78/BT77)))</f>
        <v>12</v>
      </c>
      <c r="BZ100" s="93">
        <f>(BX100/BT76)+0.002*(BX100/BT77)^BY100</f>
        <v>6.7766147844476824E-3</v>
      </c>
      <c r="CC100" s="97"/>
      <c r="CD100" s="94"/>
      <c r="CE100" s="94"/>
      <c r="CF100" s="94"/>
      <c r="CG100" s="92">
        <f t="shared" si="4"/>
        <v>-71154.455236700669</v>
      </c>
      <c r="CH100" s="9">
        <f t="shared" si="5"/>
        <v>-65000</v>
      </c>
      <c r="CI100" s="96">
        <f t="shared" si="6"/>
        <v>-6.7766147844476824E-3</v>
      </c>
    </row>
    <row r="101" spans="1:87">
      <c r="A101" s="30"/>
      <c r="B101" s="30"/>
      <c r="C101" s="30"/>
      <c r="D101" s="30"/>
      <c r="E101" s="30"/>
      <c r="F101" s="30"/>
      <c r="G101" s="30"/>
      <c r="H101" s="30"/>
      <c r="I101" s="30"/>
      <c r="J101" s="30"/>
      <c r="K101" s="30"/>
      <c r="L101" s="9"/>
      <c r="M101" s="91"/>
      <c r="N101" s="112"/>
      <c r="O101" s="91"/>
      <c r="P101" s="91"/>
      <c r="Q101" s="11"/>
      <c r="U101" s="9"/>
      <c r="Y101" s="23"/>
      <c r="Z101" s="23"/>
      <c r="AA101" s="92">
        <f>X76*AD101</f>
        <v>54249.973779792344</v>
      </c>
      <c r="AB101" s="8">
        <v>54000</v>
      </c>
      <c r="AC101" s="8">
        <f>IF(AB101&lt;X77,X79,(LOG((X80)/0.002))/(LOG(X78/X77)))</f>
        <v>17</v>
      </c>
      <c r="AD101" s="93">
        <f>(AB101/X76)+0.002*(AB101/X77)^AC101</f>
        <v>5.2669877456109071E-3</v>
      </c>
      <c r="AG101" s="97"/>
      <c r="AH101" s="94"/>
      <c r="AI101" s="94"/>
      <c r="AJ101" s="94"/>
      <c r="AK101" s="94"/>
      <c r="AN101" s="23"/>
      <c r="AO101" s="23"/>
      <c r="AP101" s="92">
        <f>AM76*AS101</f>
        <v>83280.841648138754</v>
      </c>
      <c r="AQ101" s="8">
        <v>67500</v>
      </c>
      <c r="AR101" s="8">
        <f>IF(AQ101&lt;AM77,AM79,(LOG((AM80)/0.002))/(LOG(AM78/AM77)))</f>
        <v>13</v>
      </c>
      <c r="AS101" s="93">
        <f>(AQ101/AM76)+0.002*(AQ101/AM77)^AR101</f>
        <v>7.9315087283941665E-3</v>
      </c>
      <c r="AV101" s="97"/>
      <c r="AW101" s="94"/>
      <c r="AX101" s="94"/>
      <c r="AY101" s="94"/>
      <c r="AZ101" s="92">
        <f t="shared" si="1"/>
        <v>-83280.841648138754</v>
      </c>
      <c r="BA101" s="9">
        <f t="shared" si="2"/>
        <v>-67500</v>
      </c>
      <c r="BB101" s="96">
        <f t="shared" si="3"/>
        <v>-7.9315087283941665E-3</v>
      </c>
      <c r="BF101" s="23"/>
      <c r="BG101" s="23"/>
      <c r="BH101" s="92">
        <f>BE76*BK101</f>
        <v>54648.843453407062</v>
      </c>
      <c r="BI101" s="8">
        <v>54000</v>
      </c>
      <c r="BJ101" s="8">
        <f>IF(BI101&lt;BE77,BE79,(LOG((BE80)/0.002))/(LOG(BE78/BE77)))</f>
        <v>15</v>
      </c>
      <c r="BK101" s="93">
        <f>(BI101/BE76)+0.002*(BI101/BE77)^BJ101</f>
        <v>5.305712956641462E-3</v>
      </c>
      <c r="BN101" s="97"/>
      <c r="BO101" s="94"/>
      <c r="BP101" s="94"/>
      <c r="BQ101" s="94"/>
      <c r="BR101" s="94"/>
      <c r="BU101" s="23"/>
      <c r="BV101" s="23"/>
      <c r="BW101" s="92">
        <f>BT76*BZ101</f>
        <v>77179.983377364202</v>
      </c>
      <c r="BX101" s="8">
        <v>67500</v>
      </c>
      <c r="BY101" s="8">
        <f>IF(BX101&lt;BT77,BT79,(LOG((BT80)/0.002))/(LOG(BT78/BT77)))</f>
        <v>12</v>
      </c>
      <c r="BZ101" s="93">
        <f>(BX101/BT76)+0.002*(BX101/BT77)^BY101</f>
        <v>7.3504746073680188E-3</v>
      </c>
      <c r="CC101" s="97"/>
      <c r="CD101" s="94"/>
      <c r="CE101" s="94"/>
      <c r="CF101" s="94"/>
      <c r="CG101" s="92">
        <f t="shared" si="4"/>
        <v>-77179.983377364202</v>
      </c>
      <c r="CH101" s="9">
        <f t="shared" si="5"/>
        <v>-67500</v>
      </c>
      <c r="CI101" s="96">
        <f t="shared" si="6"/>
        <v>-7.3504746073680188E-3</v>
      </c>
    </row>
    <row r="102" spans="1:87">
      <c r="A102" s="30"/>
      <c r="B102" s="30"/>
      <c r="C102" s="30"/>
      <c r="D102" s="30"/>
      <c r="E102" s="30"/>
      <c r="F102" s="30"/>
      <c r="G102" s="30"/>
      <c r="H102" s="30"/>
      <c r="I102" s="30"/>
      <c r="J102" s="30"/>
      <c r="K102" s="30"/>
      <c r="L102" s="9"/>
      <c r="M102" s="91"/>
      <c r="N102" s="112"/>
      <c r="O102" s="91"/>
      <c r="P102" s="91"/>
      <c r="Q102" s="11"/>
      <c r="U102" s="9"/>
      <c r="Y102" s="23"/>
      <c r="Z102" s="23"/>
      <c r="AA102" s="92">
        <f>X76*AD102</f>
        <v>56463.87076161916</v>
      </c>
      <c r="AB102" s="8">
        <v>56000</v>
      </c>
      <c r="AC102" s="8">
        <f>IF(AB102&lt;X77,X79,(LOG((X80)/0.002))/(LOG(X78/X77)))</f>
        <v>17</v>
      </c>
      <c r="AD102" s="93">
        <f>(AB102/X76)+0.002*(AB102/X77)^AC102</f>
        <v>5.4819292001571998E-3</v>
      </c>
      <c r="AG102" s="97"/>
      <c r="AH102" s="94"/>
      <c r="AI102" s="94"/>
      <c r="AJ102" s="94"/>
      <c r="AK102" s="94"/>
      <c r="AN102" s="23"/>
      <c r="AO102" s="23"/>
      <c r="AP102" s="92">
        <f>AM76*AS102</f>
        <v>102377.1591525439</v>
      </c>
      <c r="AQ102" s="8">
        <v>70000</v>
      </c>
      <c r="AR102" s="8">
        <f>IF(AQ102&lt;AM77,AM79,(LOG((AM80)/0.002))/(LOG(AM78/AM77)))</f>
        <v>30.088169548174029</v>
      </c>
      <c r="AS102" s="93">
        <f>(AQ102/AM76)+0.002*(AQ102/AM77)^AR102</f>
        <v>9.75020563357561E-3</v>
      </c>
      <c r="AV102" s="97"/>
      <c r="AW102" s="94"/>
      <c r="AX102" s="94"/>
      <c r="AY102" s="94"/>
      <c r="AZ102" s="92">
        <f t="shared" si="1"/>
        <v>-102377.1591525439</v>
      </c>
      <c r="BA102" s="9">
        <f t="shared" si="2"/>
        <v>-70000</v>
      </c>
      <c r="BB102" s="96">
        <f t="shared" si="3"/>
        <v>-9.75020563357561E-3</v>
      </c>
      <c r="BF102" s="23"/>
      <c r="BG102" s="23"/>
      <c r="BH102" s="92">
        <f>BE76*BK102</f>
        <v>57119.576914670448</v>
      </c>
      <c r="BI102" s="8">
        <v>56000</v>
      </c>
      <c r="BJ102" s="8">
        <f>IF(BI102&lt;BE77,BE79,(LOG((BE80)/0.002))/(LOG(BE78/BE77)))</f>
        <v>15</v>
      </c>
      <c r="BK102" s="93">
        <f>(BI102/BE76)+0.002*(BI102/BE77)^BJ102</f>
        <v>5.5455899917155778E-3</v>
      </c>
      <c r="BN102" s="97"/>
      <c r="BO102" s="94"/>
      <c r="BP102" s="94"/>
      <c r="BQ102" s="94"/>
      <c r="BR102" s="94"/>
      <c r="BU102" s="23"/>
      <c r="BV102" s="23"/>
      <c r="BW102" s="92">
        <f>BT76*BZ102</f>
        <v>84976.344367911413</v>
      </c>
      <c r="BX102" s="8">
        <v>70000</v>
      </c>
      <c r="BY102" s="8">
        <f>IF(BX102&lt;BT77,BT79,(LOG((BT80)/0.002))/(LOG(BT78/BT77)))</f>
        <v>12</v>
      </c>
      <c r="BZ102" s="93">
        <f>(BX102/BT76)+0.002*(BX102/BT77)^BY102</f>
        <v>8.0929851778963249E-3</v>
      </c>
      <c r="CC102" s="97"/>
      <c r="CD102" s="94"/>
      <c r="CE102" s="94"/>
      <c r="CF102" s="94"/>
      <c r="CG102" s="92">
        <f t="shared" si="4"/>
        <v>-84976.344367911413</v>
      </c>
      <c r="CH102" s="9">
        <f t="shared" si="5"/>
        <v>-70000</v>
      </c>
      <c r="CI102" s="96">
        <f t="shared" si="6"/>
        <v>-8.0929851778963249E-3</v>
      </c>
    </row>
    <row r="103" spans="1:87">
      <c r="A103" s="30"/>
      <c r="B103" s="30"/>
      <c r="C103" s="30"/>
      <c r="D103" s="30"/>
      <c r="E103" s="30"/>
      <c r="F103" s="30"/>
      <c r="G103" s="30"/>
      <c r="H103" s="30"/>
      <c r="I103" s="30"/>
      <c r="J103" s="30"/>
      <c r="K103" s="30"/>
      <c r="L103" s="9"/>
      <c r="M103" s="91"/>
      <c r="N103" s="112"/>
      <c r="O103" s="91"/>
      <c r="P103" s="91"/>
      <c r="Q103" s="11"/>
      <c r="U103" s="9"/>
      <c r="Y103" s="23"/>
      <c r="Z103" s="23"/>
      <c r="AA103" s="92">
        <f>X76*AD103</f>
        <v>58842.318677288422</v>
      </c>
      <c r="AB103" s="8">
        <v>58000</v>
      </c>
      <c r="AC103" s="8">
        <f>IF(AB103&lt;X77,X79,(LOG((X80)/0.002))/(LOG(X78/X77)))</f>
        <v>17</v>
      </c>
      <c r="AD103" s="93">
        <f>(AB103/X76)+0.002*(AB103/X77)^AC103</f>
        <v>5.7128464735231475E-3</v>
      </c>
      <c r="AG103" s="97"/>
      <c r="AH103" s="94"/>
      <c r="AI103" s="94"/>
      <c r="AJ103" s="94"/>
      <c r="AK103" s="94"/>
      <c r="AN103" s="23"/>
      <c r="AO103" s="23"/>
      <c r="AP103" s="92">
        <f>AM76*AS103</f>
        <v>165563.94056958921</v>
      </c>
      <c r="AQ103" s="8">
        <v>72500</v>
      </c>
      <c r="AR103" s="8">
        <f>IF(AQ103&lt;AM77,AM79,(LOG((AM80)/0.002))/(LOG(AM78/AM77)))</f>
        <v>30.088169548174029</v>
      </c>
      <c r="AS103" s="93">
        <f>(AQ103/AM76)+0.002*(AQ103/AM77)^AR103</f>
        <v>1.5767994339960876E-2</v>
      </c>
      <c r="AV103" s="97"/>
      <c r="AW103" s="94"/>
      <c r="AX103" s="94"/>
      <c r="AY103" s="94"/>
      <c r="AZ103" s="92">
        <f t="shared" si="1"/>
        <v>-165563.94056958921</v>
      </c>
      <c r="BA103" s="9">
        <f t="shared" si="2"/>
        <v>-72500</v>
      </c>
      <c r="BB103" s="96">
        <f t="shared" si="3"/>
        <v>-1.5767994339960876E-2</v>
      </c>
      <c r="BF103" s="23"/>
      <c r="BG103" s="23"/>
      <c r="BH103" s="92">
        <f>BE76*BK103</f>
        <v>59895.192954583945</v>
      </c>
      <c r="BI103" s="8">
        <v>58000</v>
      </c>
      <c r="BJ103" s="8">
        <f>IF(BI103&lt;BE77,BE79,(LOG((BE80)/0.002))/(LOG(BE78/BE77)))</f>
        <v>15</v>
      </c>
      <c r="BK103" s="93">
        <f>(BI103/BE76)+0.002*(BI103/BE77)^BJ103</f>
        <v>5.8150672771440726E-3</v>
      </c>
      <c r="BN103" s="97"/>
      <c r="BO103" s="94"/>
      <c r="BP103" s="94"/>
      <c r="BQ103" s="94"/>
      <c r="BR103" s="94"/>
      <c r="BU103" s="23"/>
      <c r="BV103" s="23"/>
      <c r="BW103" s="92">
        <f>BT76*BZ103</f>
        <v>101388.99326336494</v>
      </c>
      <c r="BX103" s="8">
        <v>72500</v>
      </c>
      <c r="BY103" s="8">
        <f>IF(BX103&lt;BT77,BT79,(LOG((BT80)/0.002))/(LOG(BT78/BT77)))</f>
        <v>46.086390145114372</v>
      </c>
      <c r="BZ103" s="93">
        <f>(BX103/BT76)+0.002*(BX103/BT77)^BY103</f>
        <v>9.656094596510947E-3</v>
      </c>
      <c r="CC103" s="97"/>
      <c r="CD103" s="94"/>
      <c r="CE103" s="94"/>
      <c r="CF103" s="94"/>
      <c r="CG103" s="92">
        <f t="shared" si="4"/>
        <v>-101388.99326336494</v>
      </c>
      <c r="CH103" s="9">
        <f t="shared" si="5"/>
        <v>-72500</v>
      </c>
      <c r="CI103" s="96">
        <f t="shared" si="6"/>
        <v>-9.656094596510947E-3</v>
      </c>
    </row>
    <row r="104" spans="1:87">
      <c r="A104" s="30"/>
      <c r="B104" s="30"/>
      <c r="C104" s="30"/>
      <c r="D104" s="30"/>
      <c r="E104" s="30"/>
      <c r="F104" s="30"/>
      <c r="G104" s="30"/>
      <c r="H104" s="30"/>
      <c r="I104" s="30"/>
      <c r="J104" s="30"/>
      <c r="K104" s="30"/>
      <c r="L104" s="9"/>
      <c r="M104" s="91"/>
      <c r="N104" s="112"/>
      <c r="O104" s="91"/>
      <c r="P104" s="91"/>
      <c r="Q104" s="11"/>
      <c r="U104" s="9"/>
      <c r="Y104" s="23"/>
      <c r="Z104" s="23"/>
      <c r="AA104" s="92">
        <f>X76*AD104</f>
        <v>61498.897021655277</v>
      </c>
      <c r="AB104" s="8">
        <v>60000</v>
      </c>
      <c r="AC104" s="8">
        <f>IF(AB104&lt;X77,X79,(LOG((X80)/0.002))/(LOG(X78/X77)))</f>
        <v>17</v>
      </c>
      <c r="AD104" s="93">
        <f>(AB104/X76)+0.002*(AB104/X77)^AC104</f>
        <v>5.9707667011315805E-3</v>
      </c>
      <c r="AG104" s="97"/>
      <c r="AH104" s="94"/>
      <c r="AI104" s="94"/>
      <c r="AJ104" s="94"/>
      <c r="AK104" s="94"/>
      <c r="AN104" s="23"/>
      <c r="AO104" s="23"/>
      <c r="AP104" s="92">
        <f>AM76*AS104</f>
        <v>333093.62964320637</v>
      </c>
      <c r="AQ104" s="8">
        <v>75000</v>
      </c>
      <c r="AR104" s="8">
        <f>IF(AQ104&lt;AM77,AM79,(LOG((AM80)/0.002))/(LOG(AM78/AM77)))</f>
        <v>30.088169548174029</v>
      </c>
      <c r="AS104" s="93">
        <f>(AQ104/AM76)+0.002*(AQ104/AM77)^AR104</f>
        <v>3.1723202823162509E-2</v>
      </c>
      <c r="AV104" s="97"/>
      <c r="AW104" s="94"/>
      <c r="AX104" s="94"/>
      <c r="AY104" s="94"/>
      <c r="AZ104" s="92">
        <f t="shared" si="1"/>
        <v>-333093.62964320637</v>
      </c>
      <c r="BA104" s="9">
        <f t="shared" si="2"/>
        <v>-75000</v>
      </c>
      <c r="BB104" s="96">
        <f t="shared" si="3"/>
        <v>-3.1723202823162509E-2</v>
      </c>
      <c r="BF104" s="23"/>
      <c r="BG104" s="23"/>
      <c r="BH104" s="92">
        <f>BE76*BK104</f>
        <v>63151.390964758924</v>
      </c>
      <c r="BI104" s="8">
        <v>60000</v>
      </c>
      <c r="BJ104" s="8">
        <f>IF(BI104&lt;BE77,BE79,(LOG((BE80)/0.002))/(LOG(BE78/BE77)))</f>
        <v>15</v>
      </c>
      <c r="BK104" s="93">
        <f>(BI104/BE76)+0.002*(BI104/BE77)^BJ104</f>
        <v>6.1312030062872745E-3</v>
      </c>
      <c r="BN104" s="97"/>
      <c r="BO104" s="94"/>
      <c r="BP104" s="94"/>
      <c r="BQ104" s="94"/>
      <c r="BR104" s="94"/>
      <c r="BU104" s="23"/>
      <c r="BV104" s="23"/>
      <c r="BW104" s="92">
        <f>BT76*BZ104</f>
        <v>212807.91616298625</v>
      </c>
      <c r="BX104" s="8">
        <v>75000</v>
      </c>
      <c r="BY104" s="8">
        <f>IF(BX104&lt;BT77,BT79,(LOG((BT80)/0.002))/(LOG(BT78/BT77)))</f>
        <v>46.086390145114372</v>
      </c>
      <c r="BZ104" s="93">
        <f>(BX104/BT76)+0.002*(BX104/BT77)^BY104</f>
        <v>2.0267420586951072E-2</v>
      </c>
      <c r="CC104" s="97"/>
      <c r="CD104" s="94"/>
      <c r="CE104" s="94"/>
      <c r="CF104" s="94"/>
      <c r="CG104" s="92">
        <f t="shared" si="4"/>
        <v>-212807.91616298625</v>
      </c>
      <c r="CH104" s="9">
        <f t="shared" si="5"/>
        <v>-75000</v>
      </c>
      <c r="CI104" s="96">
        <f t="shared" si="6"/>
        <v>-2.0267420586951072E-2</v>
      </c>
    </row>
    <row r="105" spans="1:87">
      <c r="A105" s="30"/>
      <c r="B105" s="30"/>
      <c r="C105" s="30"/>
      <c r="D105" s="30"/>
      <c r="E105" s="30"/>
      <c r="F105" s="30"/>
      <c r="G105" s="30"/>
      <c r="H105" s="30"/>
      <c r="I105" s="30"/>
      <c r="J105" s="30"/>
      <c r="K105" s="30"/>
      <c r="L105" s="9"/>
      <c r="M105" s="91"/>
      <c r="N105" s="112"/>
      <c r="O105" s="91"/>
      <c r="P105" s="91"/>
      <c r="Q105" s="11"/>
      <c r="U105" s="9"/>
      <c r="Y105" s="23"/>
      <c r="Z105" s="23"/>
      <c r="AA105" s="92">
        <f>X76*AD105</f>
        <v>64617.334691669181</v>
      </c>
      <c r="AB105" s="8">
        <v>62000</v>
      </c>
      <c r="AC105" s="8">
        <f>IF(AB105&lt;X77,X79,(LOG((X80)/0.002))/(LOG(X78/X77)))</f>
        <v>17</v>
      </c>
      <c r="AD105" s="93">
        <f>(AB105/X76)+0.002*(AB105/X77)^AC105</f>
        <v>6.2735276399678817E-3</v>
      </c>
      <c r="AG105" s="97"/>
      <c r="AH105" s="94"/>
      <c r="AI105" s="94"/>
      <c r="AJ105" s="94"/>
      <c r="AK105" s="94"/>
      <c r="AN105" s="23"/>
      <c r="AO105" s="23"/>
      <c r="AP105" s="92">
        <f>AM76*AS105</f>
        <v>769723.0105174419</v>
      </c>
      <c r="AQ105" s="8">
        <v>77500</v>
      </c>
      <c r="AR105" s="8">
        <f>IF(AQ105&lt;AM77,AM79,(LOG((AM80)/0.002))/(LOG(AM78/AM77)))</f>
        <v>30.088169548174029</v>
      </c>
      <c r="AS105" s="93">
        <f>(AQ105/AM76)+0.002*(AQ105/AM77)^AR105</f>
        <v>7.3306953382613518E-2</v>
      </c>
      <c r="AV105" s="97"/>
      <c r="AW105" s="94"/>
      <c r="AX105" s="94"/>
      <c r="AY105" s="94"/>
      <c r="AZ105" s="92">
        <f t="shared" si="1"/>
        <v>-769723.0105174419</v>
      </c>
      <c r="BA105" s="9">
        <f t="shared" si="2"/>
        <v>-77500</v>
      </c>
      <c r="BB105" s="96">
        <f t="shared" si="3"/>
        <v>-7.3306953382613518E-2</v>
      </c>
      <c r="BF105" s="23"/>
      <c r="BG105" s="23"/>
      <c r="BH105" s="92">
        <f>BE76*BK105</f>
        <v>67153.578222146141</v>
      </c>
      <c r="BI105" s="8">
        <v>62000</v>
      </c>
      <c r="BJ105" s="8">
        <f>IF(BI105&lt;BE77,BE79,(LOG((BE80)/0.002))/(LOG(BE78/BE77)))</f>
        <v>15</v>
      </c>
      <c r="BK105" s="93">
        <f>(BI105/BE76)+0.002*(BI105/BE77)^BJ105</f>
        <v>6.5197648759365186E-3</v>
      </c>
      <c r="BN105" s="97"/>
      <c r="BO105" s="94"/>
      <c r="BP105" s="94"/>
      <c r="BQ105" s="94"/>
      <c r="BR105" s="94"/>
      <c r="BU105" s="23"/>
      <c r="BV105" s="23"/>
      <c r="BW105" s="92">
        <f>BT76*BZ105</f>
        <v>702046.24064702843</v>
      </c>
      <c r="BX105" s="8">
        <v>77500</v>
      </c>
      <c r="BY105" s="8">
        <f>IF(BX105&lt;BT77,BT79,(LOG((BT80)/0.002))/(LOG(BT78/BT77)))</f>
        <v>46.086390145114372</v>
      </c>
      <c r="BZ105" s="93">
        <f>(BX105/BT76)+0.002*(BX105/BT77)^BY105</f>
        <v>6.6861546728288423E-2</v>
      </c>
      <c r="CC105" s="97"/>
      <c r="CD105" s="94"/>
      <c r="CE105" s="94"/>
      <c r="CF105" s="94"/>
      <c r="CG105" s="92">
        <f t="shared" si="4"/>
        <v>-702046.24064702843</v>
      </c>
      <c r="CH105" s="9">
        <f t="shared" si="5"/>
        <v>-77500</v>
      </c>
      <c r="CI105" s="96">
        <f t="shared" si="6"/>
        <v>-6.6861546728288423E-2</v>
      </c>
    </row>
    <row r="106" spans="1:87">
      <c r="A106" s="30"/>
      <c r="B106" s="30"/>
      <c r="C106" s="30"/>
      <c r="D106" s="30"/>
      <c r="E106" s="30"/>
      <c r="F106" s="30"/>
      <c r="G106" s="30"/>
      <c r="H106" s="30"/>
      <c r="I106" s="30"/>
      <c r="J106" s="30"/>
      <c r="K106" s="30"/>
      <c r="L106" s="9"/>
      <c r="M106" s="91"/>
      <c r="N106" s="112"/>
      <c r="O106" s="91"/>
      <c r="P106" s="91"/>
      <c r="Q106" s="11"/>
      <c r="U106" s="9"/>
      <c r="Y106" s="23"/>
      <c r="Z106" s="23"/>
      <c r="AA106" s="92">
        <f>X76*AD106</f>
        <v>68490.14222891457</v>
      </c>
      <c r="AB106" s="8">
        <v>64000</v>
      </c>
      <c r="AC106" s="8">
        <f>IF(AB106&lt;X77,X79,(LOG((X80)/0.002))/(LOG(X78/X77)))</f>
        <v>17</v>
      </c>
      <c r="AD106" s="93">
        <f>(AB106/X76)+0.002*(AB106/X77)^AC106</f>
        <v>6.6495283717392792E-3</v>
      </c>
      <c r="AG106" s="97"/>
      <c r="AH106" s="94"/>
      <c r="AI106" s="94"/>
      <c r="AJ106" s="94"/>
      <c r="AK106" s="94"/>
      <c r="AN106" s="23"/>
      <c r="AO106" s="23"/>
      <c r="AP106" s="92">
        <f>AM76*AS106</f>
        <v>1879327.7304824691</v>
      </c>
      <c r="AQ106" s="8">
        <v>80000</v>
      </c>
      <c r="AR106" s="8">
        <f>IF(AQ106&lt;AM77,AM79,(LOG((AM80)/0.002))/(LOG(AM78/AM77)))</f>
        <v>30.088169548174029</v>
      </c>
      <c r="AS106" s="93">
        <f>(AQ106/AM76)+0.002*(AQ106/AM77)^AR106</f>
        <v>0.17898359337928277</v>
      </c>
      <c r="AV106" s="97"/>
      <c r="AW106" s="94"/>
      <c r="AX106" s="94"/>
      <c r="AY106" s="94"/>
      <c r="AZ106" s="92">
        <f t="shared" si="1"/>
        <v>-1879327.7304824691</v>
      </c>
      <c r="BA106" s="9">
        <f t="shared" si="2"/>
        <v>-80000</v>
      </c>
      <c r="BB106" s="96">
        <f t="shared" si="3"/>
        <v>-0.17898359337928277</v>
      </c>
      <c r="BF106" s="23"/>
      <c r="BG106" s="23"/>
      <c r="BH106" s="92">
        <f>BE76*BK106</f>
        <v>72297.230202353836</v>
      </c>
      <c r="BI106" s="8">
        <v>64000</v>
      </c>
      <c r="BJ106" s="8">
        <f>IF(BI106&lt;BE77,BE79,(LOG((BE80)/0.002))/(LOG(BE78/BE77)))</f>
        <v>15</v>
      </c>
      <c r="BK106" s="93">
        <f>(BI106/BE76)+0.002*(BI106/BE77)^BJ106</f>
        <v>7.0191485633353239E-3</v>
      </c>
      <c r="BN106" s="97"/>
      <c r="BO106" s="94"/>
      <c r="BP106" s="94"/>
      <c r="BQ106" s="94"/>
      <c r="BR106" s="94"/>
      <c r="BU106" s="23"/>
      <c r="BV106" s="23"/>
      <c r="BW106" s="92">
        <f>BT76*BZ106</f>
        <v>2777844.1449612933</v>
      </c>
      <c r="BX106" s="8">
        <v>80000</v>
      </c>
      <c r="BY106" s="8">
        <f>IF(BX106&lt;BT77,BT79,(LOG((BT80)/0.002))/(LOG(BT78/BT77)))</f>
        <v>46.086390145114372</v>
      </c>
      <c r="BZ106" s="93">
        <f>(BX106/BT76)+0.002*(BX106/BT77)^BY106</f>
        <v>0.26455658523440889</v>
      </c>
      <c r="CC106" s="97"/>
      <c r="CD106" s="94"/>
      <c r="CE106" s="94"/>
      <c r="CF106" s="94"/>
      <c r="CG106" s="92">
        <f t="shared" si="4"/>
        <v>-2777844.1449612933</v>
      </c>
      <c r="CH106" s="9">
        <f t="shared" si="5"/>
        <v>-80000</v>
      </c>
      <c r="CI106" s="96">
        <f t="shared" si="6"/>
        <v>-0.26455658523440889</v>
      </c>
    </row>
    <row r="107" spans="1:87">
      <c r="A107" s="30"/>
      <c r="B107" s="30"/>
      <c r="C107" s="30"/>
      <c r="D107" s="30"/>
      <c r="E107" s="30"/>
      <c r="F107" s="30"/>
      <c r="G107" s="30"/>
      <c r="H107" s="30"/>
      <c r="I107" s="30"/>
      <c r="J107" s="30"/>
      <c r="K107" s="30"/>
      <c r="L107" s="9"/>
      <c r="M107" s="91"/>
      <c r="N107" s="112"/>
      <c r="O107" s="91"/>
      <c r="P107" s="91"/>
      <c r="Q107" s="11"/>
      <c r="U107" s="9"/>
      <c r="Y107" s="23"/>
      <c r="Z107" s="23"/>
      <c r="AA107" s="92">
        <f>X76*AD107</f>
        <v>73576.130456221028</v>
      </c>
      <c r="AB107" s="8">
        <v>66000</v>
      </c>
      <c r="AC107" s="8">
        <f>IF(AB107&lt;X77,X79,(LOG((X80)/0.002))/(LOG(X78/X77)))</f>
        <v>17</v>
      </c>
      <c r="AD107" s="93">
        <f>(AB107/X76)+0.002*(AB107/X77)^AC107</f>
        <v>7.1433136365263135E-3</v>
      </c>
      <c r="AG107" s="97"/>
      <c r="AH107" s="94"/>
      <c r="AI107" s="94"/>
      <c r="AJ107" s="94"/>
      <c r="AK107" s="94"/>
      <c r="AN107" s="23"/>
      <c r="AO107" s="23"/>
      <c r="AP107" s="92">
        <f>AM76*AS107</f>
        <v>4624084.6605180139</v>
      </c>
      <c r="AQ107" s="8">
        <v>82500</v>
      </c>
      <c r="AR107" s="8">
        <f>IF(AQ107&lt;AM77,AM79,(LOG((AM80)/0.002))/(LOG(AM78/AM77)))</f>
        <v>30.088169548174029</v>
      </c>
      <c r="AS107" s="93">
        <f>(AQ107/AM76)+0.002*(AQ107/AM77)^AR107</f>
        <v>0.44038901528742985</v>
      </c>
      <c r="AV107" s="97"/>
      <c r="AW107" s="94"/>
      <c r="AX107" s="94"/>
      <c r="AY107" s="94"/>
      <c r="AZ107" s="92">
        <f t="shared" si="1"/>
        <v>-4624084.6605180139</v>
      </c>
      <c r="BA107" s="9">
        <f t="shared" si="2"/>
        <v>-82500</v>
      </c>
      <c r="BB107" s="96">
        <f t="shared" si="3"/>
        <v>-0.44038901528742985</v>
      </c>
      <c r="BF107" s="23"/>
      <c r="BG107" s="23"/>
      <c r="BH107" s="92">
        <f>BE76*BK107</f>
        <v>79164.142138652242</v>
      </c>
      <c r="BI107" s="8">
        <v>66000</v>
      </c>
      <c r="BJ107" s="8">
        <f>IF(BI107&lt;BE77,BE79,(LOG((BE80)/0.002))/(LOG(BE78/BE77)))</f>
        <v>15</v>
      </c>
      <c r="BK107" s="93">
        <f>(BI107/BE76)+0.002*(BI107/BE77)^BJ107</f>
        <v>7.6858390425875956E-3</v>
      </c>
      <c r="BN107" s="97"/>
      <c r="BO107" s="94"/>
      <c r="BP107" s="94"/>
      <c r="BQ107" s="94"/>
      <c r="BR107" s="94"/>
      <c r="BU107" s="23"/>
      <c r="BV107" s="23"/>
      <c r="BW107" s="92">
        <f>BT76*BZ107</f>
        <v>11223228.818987442</v>
      </c>
      <c r="BX107" s="8">
        <v>82500</v>
      </c>
      <c r="BY107" s="8">
        <f>IF(BX107&lt;BT77,BT79,(LOG((BT80)/0.002))/(LOG(BT78/BT77)))</f>
        <v>46.086390145114372</v>
      </c>
      <c r="BZ107" s="93">
        <f>(BX107/BT76)+0.002*(BX107/BT77)^BY107</f>
        <v>1.0688789351416612</v>
      </c>
      <c r="CC107" s="97"/>
      <c r="CD107" s="94"/>
      <c r="CE107" s="94"/>
      <c r="CF107" s="94"/>
      <c r="CG107" s="92">
        <f t="shared" si="4"/>
        <v>-11223228.818987442</v>
      </c>
      <c r="CH107" s="9">
        <f t="shared" si="5"/>
        <v>-82500</v>
      </c>
      <c r="CI107" s="96">
        <f t="shared" si="6"/>
        <v>-1.0688789351416612</v>
      </c>
    </row>
    <row r="108" spans="1:87">
      <c r="A108" s="30"/>
      <c r="B108" s="30"/>
      <c r="C108" s="30"/>
      <c r="D108" s="30"/>
      <c r="E108" s="30"/>
      <c r="F108" s="30"/>
      <c r="G108" s="30"/>
      <c r="H108" s="30"/>
      <c r="I108" s="30"/>
      <c r="J108" s="30"/>
      <c r="K108" s="30"/>
      <c r="L108" s="9"/>
      <c r="M108" s="91"/>
      <c r="N108" s="112"/>
      <c r="O108" s="91"/>
      <c r="P108" s="91"/>
      <c r="Q108" s="11"/>
      <c r="U108" s="9"/>
      <c r="Y108" s="23"/>
      <c r="Z108" s="23"/>
      <c r="AA108" s="92">
        <f>X76*AD108</f>
        <v>80584.966276813124</v>
      </c>
      <c r="AB108" s="8">
        <v>68000</v>
      </c>
      <c r="AC108" s="8">
        <f>IF(AB108&lt;X77,X79,(LOG((X80)/0.002))/(LOG(X78/X77)))</f>
        <v>17</v>
      </c>
      <c r="AD108" s="93">
        <f>(AB108/X76)+0.002*(AB108/X77)^AC108</f>
        <v>7.8237831336711774E-3</v>
      </c>
      <c r="AG108" s="97"/>
      <c r="AH108" s="94"/>
      <c r="AI108" s="94"/>
      <c r="AJ108" s="94"/>
      <c r="AK108" s="94"/>
      <c r="AN108" s="23"/>
      <c r="AO108" s="23"/>
      <c r="AP108" s="92">
        <f>AM76*AS108</f>
        <v>11235641.301496884</v>
      </c>
      <c r="AQ108" s="8">
        <v>85000</v>
      </c>
      <c r="AR108" s="8">
        <f>IF(AQ108&lt;AM77,AM79,(LOG((AM80)/0.002))/(LOG(AM78/AM77)))</f>
        <v>30.088169548174029</v>
      </c>
      <c r="AS108" s="93">
        <f>(AQ108/AM76)+0.002*(AQ108/AM77)^AR108</f>
        <v>1.0700610763330365</v>
      </c>
      <c r="AV108" s="97"/>
      <c r="AW108" s="94"/>
      <c r="AX108" s="94"/>
      <c r="AY108" s="94"/>
      <c r="AZ108" s="92">
        <f t="shared" si="1"/>
        <v>-11235641.301496884</v>
      </c>
      <c r="BA108" s="9">
        <f t="shared" si="2"/>
        <v>-85000</v>
      </c>
      <c r="BB108" s="96">
        <f t="shared" si="3"/>
        <v>-1.0700610763330365</v>
      </c>
      <c r="BF108" s="23"/>
      <c r="BG108" s="23"/>
      <c r="BH108" s="92">
        <f>BE76*BK108</f>
        <v>88599.999999999985</v>
      </c>
      <c r="BI108" s="8">
        <v>68000</v>
      </c>
      <c r="BJ108" s="8">
        <f>IF(BI108&lt;BE77,BE79,(LOG((BE80)/0.002))/(LOG(BE78/BE77)))</f>
        <v>26.886656708206065</v>
      </c>
      <c r="BK108" s="93">
        <f>(BI108/BE76)+0.002*(BI108/BE77)^BJ108</f>
        <v>8.6019417475728145E-3</v>
      </c>
      <c r="BN108" s="97"/>
      <c r="BO108" s="94"/>
      <c r="BP108" s="94"/>
      <c r="BQ108" s="94"/>
      <c r="BR108" s="94"/>
      <c r="BU108" s="23"/>
      <c r="BV108" s="23"/>
      <c r="BW108" s="92">
        <f>BT76*BZ108</f>
        <v>44183376.277494624</v>
      </c>
      <c r="BX108" s="8">
        <v>85000</v>
      </c>
      <c r="BY108" s="8">
        <f>IF(BX108&lt;BT77,BT79,(LOG((BT80)/0.002))/(LOG(BT78/BT77)))</f>
        <v>46.086390145114372</v>
      </c>
      <c r="BZ108" s="93">
        <f>(BX108/BT76)+0.002*(BX108/BT77)^BY108</f>
        <v>4.2079405978566307</v>
      </c>
      <c r="CC108" s="97"/>
      <c r="CD108" s="94"/>
      <c r="CE108" s="94"/>
      <c r="CF108" s="94"/>
      <c r="CG108" s="92">
        <f t="shared" si="4"/>
        <v>-44183376.277494624</v>
      </c>
      <c r="CH108" s="9">
        <f t="shared" si="5"/>
        <v>-85000</v>
      </c>
      <c r="CI108" s="96">
        <f t="shared" si="6"/>
        <v>-4.2079405978566307</v>
      </c>
    </row>
    <row r="109" spans="1:87">
      <c r="A109" s="30"/>
      <c r="B109" s="30"/>
      <c r="C109" s="30"/>
      <c r="D109" s="30"/>
      <c r="E109" s="30"/>
      <c r="F109" s="30"/>
      <c r="G109" s="30"/>
      <c r="H109" s="30"/>
      <c r="I109" s="30"/>
      <c r="J109" s="30"/>
      <c r="K109" s="30"/>
      <c r="L109" s="9"/>
      <c r="M109" s="91"/>
      <c r="N109" s="112"/>
      <c r="O109" s="91"/>
      <c r="P109" s="91"/>
      <c r="Q109" s="11"/>
      <c r="U109" s="9"/>
      <c r="Y109" s="23"/>
      <c r="Z109" s="23"/>
      <c r="AA109" s="92">
        <f>X76*AD109</f>
        <v>90600.000000000015</v>
      </c>
      <c r="AB109" s="8">
        <v>70000</v>
      </c>
      <c r="AC109" s="8">
        <f>IF(AB109&lt;X77,X79,(LOG((X80)/0.002))/(LOG(X78/X77)))</f>
        <v>34.08887586875526</v>
      </c>
      <c r="AD109" s="93">
        <f>(AB109/X76)+0.002*(AB109/X77)^AC109</f>
        <v>8.7961165048543698E-3</v>
      </c>
      <c r="AG109" s="97"/>
      <c r="AH109" s="94"/>
      <c r="AI109" s="94"/>
      <c r="AJ109" s="94"/>
      <c r="AK109" s="94"/>
      <c r="AN109" s="23"/>
      <c r="AO109" s="23"/>
      <c r="AP109" s="92">
        <f>AM76*AS109</f>
        <v>26761223.341577772</v>
      </c>
      <c r="AQ109" s="8">
        <v>87500</v>
      </c>
      <c r="AR109" s="8">
        <f>IF(AQ109&lt;AM77,AM79,(LOG((AM80)/0.002))/(LOG(AM78/AM77)))</f>
        <v>30.088169548174029</v>
      </c>
      <c r="AS109" s="93">
        <f>(AQ109/AM76)+0.002*(AQ109/AM77)^AR109</f>
        <v>2.548687937293121</v>
      </c>
      <c r="AV109" s="97"/>
      <c r="AW109" s="94"/>
      <c r="AX109" s="94"/>
      <c r="AY109" s="94"/>
      <c r="AZ109" s="92">
        <f t="shared" si="1"/>
        <v>-26761223.341577772</v>
      </c>
      <c r="BA109" s="9">
        <f t="shared" si="2"/>
        <v>-87500</v>
      </c>
      <c r="BB109" s="96">
        <f t="shared" si="3"/>
        <v>-2.548687937293121</v>
      </c>
      <c r="BF109" s="23"/>
      <c r="BG109" s="23"/>
      <c r="BH109" s="92">
        <f>BE76*BK109</f>
        <v>114910.38359696695</v>
      </c>
      <c r="BI109" s="8">
        <v>70000</v>
      </c>
      <c r="BJ109" s="8">
        <f>IF(BI109&lt;BE77,BE79,(LOG((BE80)/0.002))/(LOG(BE78/BE77)))</f>
        <v>26.886656708206065</v>
      </c>
      <c r="BK109" s="93">
        <f>(BI109/BE76)+0.002*(BI109/BE77)^BJ109</f>
        <v>1.1156347922035625E-2</v>
      </c>
      <c r="BN109" s="97"/>
      <c r="BO109" s="94"/>
      <c r="BP109" s="94"/>
      <c r="BQ109" s="94"/>
      <c r="BR109" s="94"/>
      <c r="BU109" s="23"/>
      <c r="BV109" s="23"/>
      <c r="BW109" s="92">
        <f>BT76*BZ109</f>
        <v>167817223.69028845</v>
      </c>
      <c r="BX109" s="8">
        <v>87500</v>
      </c>
      <c r="BY109" s="8">
        <f>IF(BX109&lt;BT77,BT79,(LOG((BT80)/0.002))/(LOG(BT78/BT77)))</f>
        <v>46.086390145114372</v>
      </c>
      <c r="BZ109" s="93">
        <f>(BX109/BT76)+0.002*(BX109/BT77)^BY109</f>
        <v>15.982592732408424</v>
      </c>
      <c r="CC109" s="97"/>
      <c r="CD109" s="94"/>
      <c r="CE109" s="94"/>
      <c r="CF109" s="94"/>
      <c r="CG109" s="92">
        <f t="shared" si="4"/>
        <v>-167817223.69028845</v>
      </c>
      <c r="CH109" s="9">
        <f t="shared" si="5"/>
        <v>-87500</v>
      </c>
      <c r="CI109" s="96">
        <f t="shared" si="6"/>
        <v>-15.982592732408424</v>
      </c>
    </row>
    <row r="110" spans="1:87">
      <c r="A110" s="30"/>
      <c r="B110" s="30"/>
      <c r="C110" s="30"/>
      <c r="D110" s="30"/>
      <c r="E110" s="30"/>
      <c r="F110" s="30"/>
      <c r="G110" s="30"/>
      <c r="H110" s="30"/>
      <c r="I110" s="30"/>
      <c r="J110" s="30"/>
      <c r="K110" s="30"/>
      <c r="L110" s="9"/>
      <c r="M110" s="91"/>
      <c r="N110" s="112"/>
      <c r="O110" s="91"/>
      <c r="P110" s="91"/>
      <c r="Q110" s="11"/>
      <c r="U110" s="9"/>
      <c r="Y110" s="23"/>
      <c r="Z110" s="23"/>
      <c r="AA110" s="92">
        <f>X76*AD110</f>
        <v>125817.8181022307</v>
      </c>
      <c r="AB110" s="8">
        <v>72000</v>
      </c>
      <c r="AC110" s="8">
        <f>IF(AB110&lt;X77,X79,(LOG((X80)/0.002))/(LOG(X78/X77)))</f>
        <v>34.08887586875526</v>
      </c>
      <c r="AD110" s="93">
        <f>(AB110/X76)+0.002*(AB110/X77)^AC110</f>
        <v>1.221532214584764E-2</v>
      </c>
      <c r="AG110" s="97"/>
      <c r="AH110" s="94"/>
      <c r="AI110" s="94"/>
      <c r="AJ110" s="94"/>
      <c r="AK110" s="94"/>
      <c r="AN110" s="23"/>
      <c r="AO110" s="23"/>
      <c r="AP110" s="92">
        <f>AM76*AS110</f>
        <v>62348125.615523756</v>
      </c>
      <c r="AQ110" s="8">
        <v>90000</v>
      </c>
      <c r="AR110" s="8">
        <f>IF(AQ110&lt;AM77,AM79,(LOG((AM80)/0.002))/(LOG(AM78/AM77)))</f>
        <v>30.088169548174029</v>
      </c>
      <c r="AS110" s="93">
        <f>(AQ110/AM76)+0.002*(AQ110/AM77)^AR110</f>
        <v>5.9379167252879768</v>
      </c>
      <c r="AV110" s="97"/>
      <c r="AW110" s="94"/>
      <c r="AX110" s="94"/>
      <c r="AY110" s="94"/>
      <c r="AZ110" s="92">
        <f t="shared" si="1"/>
        <v>-62348125.615523756</v>
      </c>
      <c r="BA110" s="9">
        <f t="shared" si="2"/>
        <v>-90000</v>
      </c>
      <c r="BB110" s="96">
        <f t="shared" si="3"/>
        <v>-5.9379167252879768</v>
      </c>
      <c r="BF110" s="23"/>
      <c r="BG110" s="23"/>
      <c r="BH110" s="92">
        <f>BE76*BK110</f>
        <v>167783.43202950477</v>
      </c>
      <c r="BI110" s="8">
        <v>72000</v>
      </c>
      <c r="BJ110" s="8">
        <f>IF(BI110&lt;BE77,BE79,(LOG((BE80)/0.002))/(LOG(BE78/BE77)))</f>
        <v>26.886656708206065</v>
      </c>
      <c r="BK110" s="93">
        <f>(BI110/BE76)+0.002*(BI110/BE77)^BJ110</f>
        <v>1.6289653595097549E-2</v>
      </c>
      <c r="BN110" s="97"/>
      <c r="BO110" s="94"/>
      <c r="BP110" s="94"/>
      <c r="BQ110" s="94"/>
      <c r="BR110" s="94"/>
      <c r="BU110" s="23"/>
      <c r="BV110" s="23"/>
      <c r="BW110" s="92">
        <f>BT76*BZ110</f>
        <v>614491069.75786543</v>
      </c>
      <c r="BX110" s="8">
        <v>90000</v>
      </c>
      <c r="BY110" s="8">
        <f>IF(BX110&lt;BT77,BT79,(LOG((BT80)/0.002))/(LOG(BT78/BT77)))</f>
        <v>46.086390145114372</v>
      </c>
      <c r="BZ110" s="93">
        <f>(BX110/BT76)+0.002*(BX110/BT77)^BY110</f>
        <v>58.522959024558617</v>
      </c>
      <c r="CC110" s="97"/>
      <c r="CD110" s="94"/>
      <c r="CE110" s="94"/>
      <c r="CF110" s="94"/>
      <c r="CG110" s="92">
        <f t="shared" si="4"/>
        <v>-614491069.75786543</v>
      </c>
      <c r="CH110" s="9">
        <f t="shared" si="5"/>
        <v>-90000</v>
      </c>
      <c r="CI110" s="96">
        <f t="shared" si="6"/>
        <v>-58.522959024558617</v>
      </c>
    </row>
    <row r="111" spans="1:87">
      <c r="A111" s="30"/>
      <c r="G111" s="30"/>
      <c r="H111" s="30"/>
      <c r="I111" s="30"/>
      <c r="J111" s="30"/>
      <c r="K111" s="30"/>
      <c r="L111" s="9"/>
      <c r="M111" s="91"/>
      <c r="N111" s="112"/>
      <c r="O111" s="91"/>
      <c r="P111" s="91"/>
      <c r="Q111" s="11"/>
      <c r="U111" s="9"/>
      <c r="Y111" s="23"/>
      <c r="Z111" s="23"/>
      <c r="AA111" s="92">
        <f>X76*AD111</f>
        <v>210948.48508774737</v>
      </c>
      <c r="AB111" s="8">
        <v>74000</v>
      </c>
      <c r="AC111" s="8">
        <f>IF(AB111&lt;X77,X79,(LOG((X80)/0.002))/(LOG(X78/X77)))</f>
        <v>34.08887586875526</v>
      </c>
      <c r="AD111" s="93">
        <f>(AB111/X76)+0.002*(AB111/X77)^AC111</f>
        <v>2.0480435445412365E-2</v>
      </c>
      <c r="AG111" s="97"/>
      <c r="AH111" s="94"/>
      <c r="AI111" s="94"/>
      <c r="AJ111" s="94"/>
      <c r="AK111" s="94"/>
      <c r="AN111" s="23"/>
      <c r="AO111" s="23"/>
      <c r="AP111" s="92">
        <f>AM76*AS111</f>
        <v>142070773.10908759</v>
      </c>
      <c r="AQ111" s="8">
        <v>92500</v>
      </c>
      <c r="AR111" s="8">
        <f>IF(AQ111&lt;AM77,AM79,(LOG((AM80)/0.002))/(LOG(AM78/AM77)))</f>
        <v>30.088169548174029</v>
      </c>
      <c r="AS111" s="93">
        <f>(AQ111/AM76)+0.002*(AQ111/AM77)^AR111</f>
        <v>13.530549819913103</v>
      </c>
      <c r="AV111" s="97"/>
      <c r="AW111" s="94"/>
      <c r="AX111" s="94"/>
      <c r="AY111" s="94"/>
      <c r="AZ111" s="92">
        <f t="shared" si="1"/>
        <v>-142070773.10908759</v>
      </c>
      <c r="BA111" s="9">
        <f t="shared" si="2"/>
        <v>-92500</v>
      </c>
      <c r="BB111" s="96">
        <f t="shared" si="3"/>
        <v>-13.530549819913103</v>
      </c>
      <c r="BF111" s="23"/>
      <c r="BG111" s="23"/>
      <c r="BH111" s="92">
        <f>BE76*BK111</f>
        <v>274087.85395026283</v>
      </c>
      <c r="BI111" s="8">
        <v>74000</v>
      </c>
      <c r="BJ111" s="8">
        <f>IF(BI111&lt;BE77,BE79,(LOG((BE80)/0.002))/(LOG(BE78/BE77)))</f>
        <v>26.886656708206065</v>
      </c>
      <c r="BK111" s="93">
        <f>(BI111/BE76)+0.002*(BI111/BE77)^BJ111</f>
        <v>2.6610471257307068E-2</v>
      </c>
      <c r="BN111" s="97"/>
      <c r="BO111" s="94"/>
      <c r="BP111" s="94"/>
      <c r="BQ111" s="94"/>
      <c r="BR111" s="94"/>
      <c r="BU111" s="23"/>
      <c r="BV111" s="23"/>
      <c r="BW111" s="92">
        <f>BT76*BZ111</f>
        <v>2172014430.8826895</v>
      </c>
      <c r="BX111" s="8">
        <v>92500</v>
      </c>
      <c r="BY111" s="8">
        <f>IF(BX111&lt;BT77,BT79,(LOG((BT80)/0.002))/(LOG(BT78/BT77)))</f>
        <v>46.086390145114372</v>
      </c>
      <c r="BZ111" s="93">
        <f>(BX111/BT76)+0.002*(BX111/BT77)^BY111</f>
        <v>206.8585172269228</v>
      </c>
      <c r="CC111" s="97"/>
      <c r="CD111" s="94"/>
      <c r="CE111" s="94"/>
      <c r="CF111" s="94"/>
      <c r="CG111" s="92">
        <f t="shared" si="4"/>
        <v>-2172014430.8826895</v>
      </c>
      <c r="CH111" s="9">
        <f t="shared" si="5"/>
        <v>-92500</v>
      </c>
      <c r="CI111" s="96">
        <f t="shared" si="6"/>
        <v>-206.8585172269228</v>
      </c>
    </row>
    <row r="112" spans="1:87">
      <c r="A112" s="30"/>
      <c r="B112" s="30"/>
      <c r="C112" s="30"/>
      <c r="D112" s="30"/>
      <c r="E112" s="30"/>
      <c r="F112" s="30"/>
      <c r="G112" s="30"/>
      <c r="H112" s="30"/>
      <c r="I112" s="30"/>
      <c r="J112" s="30"/>
      <c r="K112" s="30"/>
      <c r="L112" s="9"/>
      <c r="M112" s="91"/>
      <c r="N112" s="112"/>
      <c r="O112" s="91"/>
      <c r="P112" s="91"/>
      <c r="Q112" s="11"/>
      <c r="U112" s="9"/>
      <c r="Y112" s="23"/>
      <c r="Z112" s="23"/>
      <c r="AA112" s="92">
        <f>X76*AD112</f>
        <v>415914.93606987287</v>
      </c>
      <c r="AB112" s="8">
        <v>76000</v>
      </c>
      <c r="AC112" s="8">
        <f>IF(AB112&lt;X77,X79,(LOG((X80)/0.002))/(LOG(X78/X77)))</f>
        <v>34.08887586875526</v>
      </c>
      <c r="AD112" s="93">
        <f>(AB112/X76)+0.002*(AB112/X77)^AC112</f>
        <v>4.038009088057018E-2</v>
      </c>
      <c r="AG112" s="97"/>
      <c r="AH112" s="94"/>
      <c r="AI112" s="94"/>
      <c r="AJ112" s="94"/>
      <c r="AK112" s="94"/>
      <c r="AN112" s="23"/>
      <c r="AO112" s="23"/>
      <c r="AP112" s="92">
        <f>AM76*AS112</f>
        <v>316832317.64091402</v>
      </c>
      <c r="AQ112" s="8">
        <v>95000</v>
      </c>
      <c r="AR112" s="8">
        <f>IF(AQ112&lt;AM77,AM79,(LOG((AM80)/0.002))/(LOG(AM78/AM77)))</f>
        <v>30.088169548174029</v>
      </c>
      <c r="AS112" s="93">
        <f>(AQ112/AM76)+0.002*(AQ112/AM77)^AR112</f>
        <v>30.174506441991809</v>
      </c>
      <c r="AV112" s="97"/>
      <c r="AW112" s="94"/>
      <c r="AX112" s="94"/>
      <c r="AY112" s="94"/>
      <c r="AZ112" s="92">
        <f t="shared" si="1"/>
        <v>-316832317.64091402</v>
      </c>
      <c r="BA112" s="9">
        <f t="shared" si="2"/>
        <v>-95000</v>
      </c>
      <c r="BB112" s="96">
        <f t="shared" si="3"/>
        <v>-30.174506441991809</v>
      </c>
      <c r="BF112" s="23"/>
      <c r="BG112" s="23"/>
      <c r="BH112" s="92">
        <f>BE76*BK112</f>
        <v>485843.97732198221</v>
      </c>
      <c r="BI112" s="8">
        <v>76000</v>
      </c>
      <c r="BJ112" s="8">
        <f>IF(BI112&lt;BE77,BE79,(LOG((BE80)/0.002))/(LOG(BE78/BE77)))</f>
        <v>26.886656708206065</v>
      </c>
      <c r="BK112" s="93">
        <f>(BI112/BE76)+0.002*(BI112/BE77)^BJ112</f>
        <v>4.7169318186600216E-2</v>
      </c>
      <c r="BN112" s="97"/>
      <c r="BO112" s="94"/>
      <c r="BP112" s="94"/>
      <c r="BQ112" s="94"/>
      <c r="BR112" s="94"/>
      <c r="BU112" s="23"/>
      <c r="BV112" s="23"/>
      <c r="BW112" s="92">
        <f>BT76*BZ112</f>
        <v>7423632514.2948256</v>
      </c>
      <c r="BX112" s="8">
        <v>95000</v>
      </c>
      <c r="BY112" s="8">
        <f>IF(BX112&lt;BT77,BT79,(LOG((BT80)/0.002))/(LOG(BT78/BT77)))</f>
        <v>46.086390145114372</v>
      </c>
      <c r="BZ112" s="93">
        <f>(BX112/BT76)+0.002*(BX112/BT77)^BY112</f>
        <v>707.012620409031</v>
      </c>
      <c r="CC112" s="97"/>
      <c r="CD112" s="94"/>
      <c r="CE112" s="94"/>
      <c r="CF112" s="94"/>
      <c r="CG112" s="92">
        <f t="shared" si="4"/>
        <v>-7423632514.2948256</v>
      </c>
      <c r="CH112" s="9">
        <f t="shared" si="5"/>
        <v>-95000</v>
      </c>
      <c r="CI112" s="96">
        <f t="shared" si="6"/>
        <v>-707.012620409031</v>
      </c>
    </row>
    <row r="113" spans="1:78">
      <c r="A113" s="30"/>
      <c r="B113" s="30"/>
      <c r="C113" s="30"/>
      <c r="D113" s="30"/>
      <c r="E113" s="30"/>
      <c r="F113" s="30"/>
      <c r="G113" s="30"/>
      <c r="H113" s="30"/>
      <c r="I113" s="30"/>
      <c r="J113" s="30"/>
      <c r="K113" s="30"/>
      <c r="L113" s="9"/>
      <c r="M113" s="91"/>
      <c r="N113" s="112"/>
      <c r="O113" s="91"/>
      <c r="P113" s="91"/>
      <c r="Q113" s="11"/>
      <c r="U113" s="9"/>
      <c r="Y113" s="23"/>
      <c r="Z113" s="23"/>
      <c r="AN113" s="23"/>
      <c r="AO113" s="23"/>
      <c r="BF113" s="23"/>
      <c r="BG113" s="23"/>
      <c r="BU113" s="23"/>
      <c r="BV113" s="23"/>
    </row>
    <row r="114" spans="1:78">
      <c r="A114" s="27"/>
      <c r="B114" s="8"/>
      <c r="C114" s="80"/>
      <c r="D114" s="27"/>
      <c r="E114" s="27"/>
      <c r="F114" s="27"/>
      <c r="G114" s="80"/>
      <c r="H114" s="27"/>
      <c r="I114" s="27"/>
      <c r="J114" s="27"/>
      <c r="K114" s="27"/>
      <c r="L114" s="9"/>
      <c r="M114" s="91"/>
      <c r="N114" s="112"/>
      <c r="O114" s="91"/>
      <c r="P114" s="91"/>
      <c r="Q114" s="11"/>
      <c r="U114" s="9"/>
      <c r="Y114" s="23"/>
      <c r="Z114" s="23"/>
      <c r="AN114" s="23"/>
      <c r="AO114" s="23"/>
      <c r="BF114" s="23"/>
      <c r="BG114" s="23"/>
      <c r="BU114" s="23"/>
      <c r="BV114" s="23"/>
    </row>
    <row r="115" spans="1:78">
      <c r="A115" s="27"/>
      <c r="B115" s="193"/>
      <c r="C115" s="80"/>
      <c r="D115" s="28"/>
      <c r="E115" s="28"/>
      <c r="F115" s="194" t="s">
        <v>276</v>
      </c>
      <c r="G115" s="80"/>
      <c r="H115" s="28"/>
      <c r="I115" s="28"/>
      <c r="J115" s="28"/>
      <c r="K115" s="27"/>
      <c r="L115" s="9"/>
      <c r="M115" s="91"/>
      <c r="N115" s="112"/>
      <c r="O115" s="91"/>
      <c r="P115" s="91"/>
      <c r="Q115" s="11"/>
      <c r="U115" s="9"/>
      <c r="Y115" s="23"/>
      <c r="Z115" s="23"/>
      <c r="AC115" s="8"/>
      <c r="AD115" s="93"/>
      <c r="AN115" s="23"/>
      <c r="AO115" s="23"/>
      <c r="AR115" s="8"/>
      <c r="AS115" s="93"/>
      <c r="BF115" s="23"/>
      <c r="BG115" s="23"/>
      <c r="BJ115" s="8"/>
      <c r="BK115" s="93"/>
      <c r="BU115" s="23"/>
      <c r="BV115" s="23"/>
      <c r="BY115" s="8"/>
      <c r="BZ115" s="93"/>
    </row>
    <row r="116" spans="1:78">
      <c r="A116" s="27"/>
      <c r="B116" s="28"/>
      <c r="C116" s="28"/>
      <c r="D116" s="28"/>
      <c r="E116" s="28"/>
      <c r="F116" s="204" t="s">
        <v>292</v>
      </c>
      <c r="G116" s="28"/>
      <c r="H116" s="28"/>
      <c r="I116" s="28"/>
      <c r="J116" s="28"/>
      <c r="K116" s="27"/>
      <c r="L116" s="9"/>
      <c r="M116" s="91"/>
      <c r="N116" s="112"/>
      <c r="O116" s="91"/>
      <c r="P116" s="91"/>
      <c r="Q116" s="11"/>
      <c r="U116" s="9"/>
      <c r="Y116" s="23"/>
      <c r="Z116" s="23"/>
      <c r="AA116" s="19"/>
    </row>
    <row r="117" spans="1:78">
      <c r="A117" s="146"/>
      <c r="B117" s="141"/>
      <c r="C117" s="141"/>
      <c r="D117" s="141"/>
      <c r="E117" s="13" t="s">
        <v>47</v>
      </c>
      <c r="F117" s="14" t="str">
        <f>$C$1</f>
        <v>R. Abbott</v>
      </c>
      <c r="G117" s="15"/>
      <c r="H117" s="16"/>
      <c r="I117" s="13" t="s">
        <v>53</v>
      </c>
      <c r="J117" s="17" t="str">
        <f>$G$2</f>
        <v>AA-SM-000-001</v>
      </c>
      <c r="K117" s="16"/>
      <c r="L117" s="18"/>
      <c r="N117" s="110"/>
      <c r="O117" s="111"/>
      <c r="P117" s="23"/>
      <c r="Q117" s="164"/>
      <c r="U117" s="9"/>
    </row>
    <row r="118" spans="1:78">
      <c r="A118" s="141"/>
      <c r="B118" s="141"/>
      <c r="C118" s="141"/>
      <c r="D118" s="141"/>
      <c r="E118" s="13" t="s">
        <v>49</v>
      </c>
      <c r="F118" s="16" t="str">
        <f>$C$2</f>
        <v xml:space="preserve"> </v>
      </c>
      <c r="G118" s="15"/>
      <c r="H118" s="16"/>
      <c r="I118" s="13" t="s">
        <v>54</v>
      </c>
      <c r="J118" s="16" t="str">
        <f>$G$3</f>
        <v>C</v>
      </c>
      <c r="K118" s="16"/>
      <c r="L118" s="18"/>
      <c r="M118" s="10">
        <v>1</v>
      </c>
      <c r="N118" s="110"/>
      <c r="O118" s="111"/>
      <c r="P118" s="23"/>
      <c r="Q118" s="164"/>
      <c r="U118" s="9"/>
    </row>
    <row r="119" spans="1:78">
      <c r="A119" s="141"/>
      <c r="B119" s="141"/>
      <c r="C119" s="141"/>
      <c r="D119" s="141"/>
      <c r="E119" s="13" t="s">
        <v>0</v>
      </c>
      <c r="F119" s="16" t="str">
        <f>$C$3</f>
        <v>Jul-10</v>
      </c>
      <c r="G119" s="15"/>
      <c r="H119" s="16"/>
      <c r="I119" s="13" t="s">
        <v>55</v>
      </c>
      <c r="J119" s="14" t="str">
        <f>L119&amp;" of "&amp;$G$1</f>
        <v>3 of 1</v>
      </c>
      <c r="K119" s="16"/>
      <c r="L119" s="18">
        <f>SUM($M$1:M118)</f>
        <v>3</v>
      </c>
      <c r="N119" s="110"/>
      <c r="O119" s="111"/>
      <c r="P119" s="23"/>
      <c r="Q119" s="164"/>
      <c r="U119" s="9"/>
    </row>
    <row r="120" spans="1:78">
      <c r="A120" s="3"/>
      <c r="B120" s="3"/>
      <c r="C120" s="3"/>
      <c r="D120" s="3"/>
      <c r="E120" s="142" t="s">
        <v>291</v>
      </c>
      <c r="F120" s="147" t="str">
        <f>$C$5</f>
        <v>STANDARD SPREADSHEET METHOD</v>
      </c>
      <c r="G120" s="15"/>
      <c r="H120" s="15"/>
      <c r="I120" s="15"/>
      <c r="J120" s="15"/>
      <c r="K120" s="15"/>
      <c r="L120" s="18"/>
      <c r="N120" s="110"/>
      <c r="O120" s="111"/>
      <c r="P120" s="23"/>
      <c r="Q120" s="164"/>
      <c r="U120" s="9"/>
    </row>
    <row r="121" spans="1:78" ht="15.6">
      <c r="A121" s="27"/>
      <c r="B121" s="26" t="str">
        <f>$G$4</f>
        <v>ALUMINUM MATERIAL DATA</v>
      </c>
      <c r="C121" s="27"/>
      <c r="D121" s="31"/>
      <c r="E121" s="31"/>
      <c r="F121" s="31"/>
      <c r="G121" s="31"/>
      <c r="H121" s="31"/>
      <c r="I121" s="19"/>
      <c r="J121" s="19"/>
      <c r="K121" s="19"/>
      <c r="L121" s="19"/>
      <c r="M121" s="160"/>
      <c r="N121" s="110"/>
      <c r="O121" s="111"/>
      <c r="P121" s="23"/>
      <c r="Q121" s="164"/>
      <c r="U121" s="9"/>
    </row>
    <row r="122" spans="1:78">
      <c r="A122" s="25"/>
      <c r="B122" s="225" t="s">
        <v>296</v>
      </c>
      <c r="C122" s="225"/>
      <c r="K122" s="19"/>
      <c r="L122" s="19"/>
      <c r="M122" s="160"/>
      <c r="N122" s="110"/>
      <c r="O122" s="111"/>
      <c r="P122" s="23"/>
      <c r="Q122" s="164"/>
      <c r="U122" s="9"/>
    </row>
    <row r="123" spans="1:78">
      <c r="A123" s="27"/>
      <c r="B123" s="113" t="str">
        <f>C15</f>
        <v xml:space="preserve">Material Properties for </v>
      </c>
      <c r="C123" s="27"/>
      <c r="D123" s="29"/>
      <c r="E123" s="29"/>
      <c r="F123" s="29"/>
      <c r="G123" s="29"/>
      <c r="H123" s="29"/>
      <c r="I123" s="19"/>
      <c r="J123" s="19"/>
      <c r="K123" s="19"/>
      <c r="L123" s="19"/>
      <c r="M123" s="91"/>
      <c r="N123" s="110"/>
      <c r="O123" s="111"/>
      <c r="P123" s="23"/>
      <c r="Q123" s="164"/>
      <c r="T123" s="111"/>
      <c r="U123" s="9"/>
    </row>
    <row r="124" spans="1:78">
      <c r="A124" s="27"/>
      <c r="B124" s="28" t="str">
        <f>"Plastic Correction for Shear Buckling"</f>
        <v>Plastic Correction for Shear Buckling</v>
      </c>
      <c r="C124" s="27"/>
      <c r="D124" s="27"/>
      <c r="E124" s="27"/>
      <c r="F124" s="27"/>
      <c r="G124" s="27"/>
      <c r="H124" s="27"/>
      <c r="I124" s="19"/>
      <c r="J124" s="19"/>
      <c r="K124" s="19"/>
      <c r="L124" s="19"/>
      <c r="M124" s="91"/>
      <c r="N124" s="110"/>
      <c r="O124" s="111"/>
      <c r="P124" s="23"/>
      <c r="Q124" s="164"/>
      <c r="U124" s="9"/>
    </row>
    <row r="125" spans="1:78" ht="15">
      <c r="A125" s="27"/>
      <c r="B125" s="27" t="s">
        <v>297</v>
      </c>
      <c r="C125" s="27"/>
      <c r="D125" s="27"/>
      <c r="E125" s="27"/>
      <c r="F125" s="27"/>
      <c r="G125" s="27"/>
      <c r="H125" s="27"/>
      <c r="I125" s="19"/>
      <c r="J125" s="19"/>
      <c r="K125" s="19"/>
      <c r="L125" s="19"/>
      <c r="M125" s="91"/>
      <c r="N125" s="110"/>
      <c r="O125" s="111"/>
      <c r="P125" s="23"/>
      <c r="Q125" s="164"/>
      <c r="U125" s="9"/>
    </row>
    <row r="126" spans="1:78">
      <c r="A126" s="27"/>
      <c r="H126" s="38"/>
      <c r="I126" s="19"/>
      <c r="J126" s="19"/>
      <c r="K126" s="19"/>
      <c r="L126" s="19"/>
      <c r="M126" s="91"/>
      <c r="N126" s="110"/>
      <c r="O126" s="111"/>
      <c r="P126" s="23"/>
      <c r="Q126" s="164"/>
      <c r="U126" s="9"/>
    </row>
    <row r="127" spans="1:78">
      <c r="A127" s="27"/>
      <c r="B127" s="38" t="s">
        <v>97</v>
      </c>
      <c r="C127" s="27"/>
      <c r="D127" s="38" t="s">
        <v>69</v>
      </c>
      <c r="E127" s="38"/>
      <c r="F127" s="27"/>
      <c r="G127" s="27"/>
      <c r="H127" s="38"/>
      <c r="I127" s="19"/>
      <c r="J127" s="19"/>
      <c r="K127" s="19"/>
      <c r="L127" s="19"/>
      <c r="M127" s="91"/>
      <c r="N127" s="110"/>
      <c r="O127" s="111"/>
      <c r="P127" s="23"/>
      <c r="Q127" s="164"/>
      <c r="U127" s="9"/>
    </row>
    <row r="128" spans="1:78">
      <c r="A128" s="27"/>
      <c r="B128" s="38" t="s">
        <v>98</v>
      </c>
      <c r="C128" s="27"/>
      <c r="D128" s="38" t="s">
        <v>65</v>
      </c>
      <c r="E128" s="38" t="s">
        <v>99</v>
      </c>
      <c r="F128" s="38" t="s">
        <v>100</v>
      </c>
      <c r="G128" s="38" t="s">
        <v>67</v>
      </c>
      <c r="H128" s="38"/>
      <c r="I128" s="19"/>
      <c r="J128" s="19"/>
      <c r="K128" s="19"/>
      <c r="L128" s="19"/>
      <c r="M128" s="91"/>
      <c r="N128" s="110"/>
      <c r="O128" s="111"/>
      <c r="P128" s="23"/>
      <c r="Q128" s="164"/>
      <c r="U128" s="9"/>
    </row>
    <row r="129" spans="1:36" ht="15">
      <c r="A129" s="27"/>
      <c r="B129" s="38" t="s">
        <v>63</v>
      </c>
      <c r="C129" s="38" t="s">
        <v>127</v>
      </c>
      <c r="D129" s="38" t="s">
        <v>62</v>
      </c>
      <c r="E129" s="38" t="s">
        <v>101</v>
      </c>
      <c r="F129" s="27"/>
      <c r="G129" s="38" t="s">
        <v>63</v>
      </c>
      <c r="H129" s="114"/>
      <c r="I129" s="19"/>
      <c r="J129" s="19"/>
      <c r="K129" s="19"/>
      <c r="L129" s="19"/>
      <c r="M129" s="91"/>
      <c r="N129" s="110"/>
      <c r="O129" s="111"/>
      <c r="P129" s="23"/>
      <c r="Q129" s="164"/>
      <c r="U129" s="9"/>
    </row>
    <row r="130" spans="1:36">
      <c r="A130" s="27"/>
      <c r="B130" s="27"/>
      <c r="C130" s="38"/>
      <c r="D130" s="27"/>
      <c r="E130" s="27"/>
      <c r="F130" s="27"/>
      <c r="G130" s="27"/>
      <c r="H130" s="27"/>
      <c r="I130" s="19"/>
      <c r="J130" s="19"/>
      <c r="K130" s="19"/>
      <c r="L130" s="19"/>
      <c r="M130" s="91"/>
      <c r="N130" s="110"/>
      <c r="O130" s="111"/>
      <c r="P130" s="23"/>
      <c r="Q130" s="164"/>
      <c r="U130" s="9"/>
    </row>
    <row r="131" spans="1:36">
      <c r="A131" s="27"/>
      <c r="B131" s="38" t="s">
        <v>102</v>
      </c>
      <c r="C131" s="38"/>
      <c r="D131" s="38"/>
      <c r="E131" s="38" t="s">
        <v>102</v>
      </c>
      <c r="F131" s="27"/>
      <c r="G131" s="38" t="s">
        <v>102</v>
      </c>
      <c r="H131" s="38"/>
      <c r="I131" s="19"/>
      <c r="J131" s="19"/>
      <c r="K131" s="19"/>
      <c r="L131" s="19"/>
      <c r="M131" s="91"/>
      <c r="N131" s="110"/>
      <c r="O131" s="111"/>
      <c r="P131" s="23"/>
      <c r="Q131" s="164"/>
      <c r="U131" s="9"/>
    </row>
    <row r="132" spans="1:36">
      <c r="A132" s="27"/>
      <c r="B132" s="116">
        <v>0</v>
      </c>
      <c r="C132" s="117">
        <f>IF(B132&lt;$H$31,$H$39,(LOG(($D$32)/SQRT(3)/0.00346))/(LOG($D$27/$H$31)))</f>
        <v>14.25</v>
      </c>
      <c r="D132" s="118">
        <f>(B132/$D$37)+0.00346*(B132/$H$31)^C132</f>
        <v>0</v>
      </c>
      <c r="E132" s="116">
        <f>D37</f>
        <v>3900000</v>
      </c>
      <c r="F132" s="117">
        <f>E132/$D$37</f>
        <v>1</v>
      </c>
      <c r="G132" s="116">
        <f t="shared" ref="G132:G159" si="7">B132/F132</f>
        <v>0</v>
      </c>
      <c r="H132" s="116"/>
      <c r="I132" s="19"/>
      <c r="J132" s="19"/>
      <c r="K132" s="19"/>
      <c r="L132" s="19"/>
      <c r="M132" s="91"/>
      <c r="N132" s="110"/>
      <c r="O132" s="111"/>
      <c r="P132" s="23"/>
      <c r="Q132" s="164"/>
      <c r="U132" s="9"/>
      <c r="V132" s="9">
        <f>(B151-B133)/18</f>
        <v>700.48076923076928</v>
      </c>
    </row>
    <row r="133" spans="1:36">
      <c r="A133" s="27"/>
      <c r="B133" s="116">
        <f>H31*0.7</f>
        <v>29420.192307692301</v>
      </c>
      <c r="C133" s="117">
        <f t="shared" ref="C133:C159" si="8">IF(B133&lt;$H$31,$H$39,(LOG(($D$32)/SQRT(3)/0.00346))/(LOG($D$27/$H$31)))</f>
        <v>14.25</v>
      </c>
      <c r="D133" s="118">
        <f t="shared" ref="D133:D159" si="9">(B133/$D$37)+0.00346*(B133/$H$31)^C133</f>
        <v>7.5651036715081357E-3</v>
      </c>
      <c r="E133" s="116">
        <f>B133/((B133/$D$37)+0.00346*(B133/$H$31)^C133)</f>
        <v>3888934.4528740952</v>
      </c>
      <c r="F133" s="117">
        <f t="shared" ref="F133:F159" si="10">E133/$D$37</f>
        <v>0.99716268022412702</v>
      </c>
      <c r="G133" s="116">
        <f t="shared" si="7"/>
        <v>29503.90431888173</v>
      </c>
      <c r="H133" s="116"/>
      <c r="I133" s="19"/>
      <c r="J133" s="19"/>
      <c r="K133" s="19"/>
      <c r="L133" s="19"/>
      <c r="M133" s="91"/>
      <c r="N133" s="110"/>
      <c r="O133" s="111"/>
      <c r="P133" s="23"/>
      <c r="Q133" s="164"/>
      <c r="U133" s="9"/>
    </row>
    <row r="134" spans="1:36">
      <c r="A134" s="27"/>
      <c r="B134" s="116">
        <f>B133+$V$132</f>
        <v>30120.673076923071</v>
      </c>
      <c r="C134" s="117">
        <f t="shared" si="8"/>
        <v>14.25</v>
      </c>
      <c r="D134" s="118">
        <f t="shared" si="9"/>
        <v>7.7532650546315628E-3</v>
      </c>
      <c r="E134" s="116">
        <f t="shared" ref="E134:E159" si="11">B134/((B134/$D$37)+0.00346*(B134/$H$31)^C134)</f>
        <v>3884901.7626361046</v>
      </c>
      <c r="F134" s="117">
        <f t="shared" si="10"/>
        <v>0.9961286570861807</v>
      </c>
      <c r="G134" s="116">
        <f t="shared" si="7"/>
        <v>30237.733713063091</v>
      </c>
      <c r="H134" s="116"/>
      <c r="I134" s="19"/>
      <c r="J134" s="19"/>
      <c r="K134" s="19"/>
      <c r="L134" s="19"/>
      <c r="M134" s="91"/>
      <c r="N134" s="110"/>
      <c r="O134" s="111"/>
      <c r="P134" s="23"/>
      <c r="Q134" s="164"/>
      <c r="U134" s="9"/>
      <c r="V134" s="9">
        <f>(B159-B151)/8</f>
        <v>621.3942307692314</v>
      </c>
    </row>
    <row r="135" spans="1:36">
      <c r="A135" s="27"/>
      <c r="B135" s="116">
        <f t="shared" ref="B135:B150" si="12">B134+$V$132</f>
        <v>30821.15384615384</v>
      </c>
      <c r="C135" s="117">
        <f t="shared" si="8"/>
        <v>14.25</v>
      </c>
      <c r="D135" s="118">
        <f t="shared" si="9"/>
        <v>7.9445105757735088E-3</v>
      </c>
      <c r="E135" s="116">
        <f t="shared" si="11"/>
        <v>3879553.5045471285</v>
      </c>
      <c r="F135" s="117">
        <f t="shared" si="10"/>
        <v>0.9947573088582381</v>
      </c>
      <c r="G135" s="116">
        <f t="shared" si="7"/>
        <v>30983.591245516684</v>
      </c>
      <c r="H135" s="116"/>
      <c r="I135" s="19"/>
      <c r="J135" s="19"/>
      <c r="K135" s="19"/>
      <c r="L135" s="19"/>
      <c r="M135" s="91"/>
      <c r="N135" s="110"/>
      <c r="O135" s="111"/>
      <c r="P135" s="23"/>
      <c r="Q135" s="164"/>
      <c r="U135" s="9"/>
    </row>
    <row r="136" spans="1:36">
      <c r="A136" s="27"/>
      <c r="B136" s="116">
        <f t="shared" si="12"/>
        <v>31521.63461538461</v>
      </c>
      <c r="C136" s="117">
        <f t="shared" si="8"/>
        <v>14.25</v>
      </c>
      <c r="D136" s="118">
        <f t="shared" si="9"/>
        <v>8.1398422969433705E-3</v>
      </c>
      <c r="E136" s="116">
        <f t="shared" si="11"/>
        <v>3872511.7103584972</v>
      </c>
      <c r="F136" s="117">
        <f t="shared" si="10"/>
        <v>0.9929517206047429</v>
      </c>
      <c r="G136" s="116">
        <f t="shared" si="7"/>
        <v>31745.384958079143</v>
      </c>
      <c r="H136" s="116"/>
      <c r="I136" s="19"/>
      <c r="J136" s="19"/>
      <c r="K136" s="19"/>
      <c r="L136" s="19"/>
      <c r="M136" s="91"/>
      <c r="N136" s="110"/>
      <c r="O136" s="111"/>
      <c r="P136" s="23"/>
      <c r="Q136" s="164"/>
      <c r="U136" s="9"/>
    </row>
    <row r="137" spans="1:36">
      <c r="A137" s="27"/>
      <c r="B137" s="116">
        <f t="shared" si="12"/>
        <v>32222.115384615379</v>
      </c>
      <c r="C137" s="117">
        <f t="shared" si="8"/>
        <v>14.25</v>
      </c>
      <c r="D137" s="118">
        <f t="shared" si="9"/>
        <v>8.3405538003458232E-3</v>
      </c>
      <c r="E137" s="116">
        <f t="shared" si="11"/>
        <v>3863306.460930611</v>
      </c>
      <c r="F137" s="117">
        <f t="shared" si="10"/>
        <v>0.99059140023861825</v>
      </c>
      <c r="G137" s="116">
        <f t="shared" si="7"/>
        <v>32528.159821348709</v>
      </c>
      <c r="H137" s="116"/>
      <c r="I137" s="19"/>
      <c r="J137" s="19"/>
      <c r="K137" s="19"/>
      <c r="L137" s="19"/>
      <c r="M137" s="91"/>
      <c r="N137" s="110"/>
      <c r="O137" s="111"/>
      <c r="P137" s="23"/>
      <c r="Q137" s="164"/>
      <c r="U137" s="9"/>
    </row>
    <row r="138" spans="1:36">
      <c r="A138" s="27"/>
      <c r="B138" s="116">
        <f t="shared" si="12"/>
        <v>32922.596153846149</v>
      </c>
      <c r="C138" s="117">
        <f t="shared" si="8"/>
        <v>14.25</v>
      </c>
      <c r="D138" s="118">
        <f t="shared" si="9"/>
        <v>8.5483055715692858E-3</v>
      </c>
      <c r="E138" s="116">
        <f t="shared" si="11"/>
        <v>3851359.299010443</v>
      </c>
      <c r="F138" s="117">
        <f t="shared" si="10"/>
        <v>0.98752802538729312</v>
      </c>
      <c r="G138" s="116">
        <f t="shared" si="7"/>
        <v>33338.391729120216</v>
      </c>
      <c r="H138" s="116"/>
      <c r="I138" s="19"/>
      <c r="J138" s="19"/>
      <c r="K138" s="19"/>
      <c r="L138" s="19"/>
      <c r="M138" s="91"/>
      <c r="N138" s="110"/>
      <c r="O138" s="111"/>
      <c r="P138" s="23"/>
      <c r="Q138" s="164"/>
      <c r="U138" s="9"/>
    </row>
    <row r="139" spans="1:36">
      <c r="A139" s="27"/>
      <c r="B139" s="116">
        <f t="shared" si="12"/>
        <v>33623.076923076915</v>
      </c>
      <c r="C139" s="117">
        <f t="shared" si="8"/>
        <v>14.25</v>
      </c>
      <c r="D139" s="118">
        <f t="shared" si="9"/>
        <v>8.7652175543502537E-3</v>
      </c>
      <c r="E139" s="116">
        <f t="shared" si="11"/>
        <v>3835966.0458615189</v>
      </c>
      <c r="F139" s="117">
        <f t="shared" si="10"/>
        <v>0.98358103740038949</v>
      </c>
      <c r="G139" s="116">
        <f t="shared" si="7"/>
        <v>34184.348461965987</v>
      </c>
      <c r="H139" s="116"/>
      <c r="I139" s="19"/>
      <c r="J139" s="19"/>
      <c r="K139" s="19"/>
      <c r="L139" s="19"/>
      <c r="M139" s="91"/>
      <c r="N139" s="110"/>
      <c r="O139" s="111"/>
      <c r="P139" s="23"/>
      <c r="Q139" s="164"/>
      <c r="U139" s="9"/>
    </row>
    <row r="140" spans="1:36">
      <c r="A140" s="27"/>
      <c r="B140" s="116">
        <f t="shared" si="12"/>
        <v>34323.557692307681</v>
      </c>
      <c r="C140" s="117">
        <f t="shared" si="8"/>
        <v>14.25</v>
      </c>
      <c r="D140" s="118">
        <f t="shared" si="9"/>
        <v>8.9939822842109388E-3</v>
      </c>
      <c r="E140" s="116">
        <f t="shared" si="11"/>
        <v>3816280.3314126115</v>
      </c>
      <c r="F140" s="117">
        <f t="shared" si="10"/>
        <v>0.978533418310926</v>
      </c>
      <c r="G140" s="116">
        <f t="shared" si="7"/>
        <v>35076.530908422668</v>
      </c>
      <c r="H140" s="116"/>
      <c r="I140" s="19"/>
      <c r="J140" s="19"/>
      <c r="K140" s="19"/>
      <c r="L140" s="19"/>
      <c r="M140" s="91"/>
      <c r="N140" s="110"/>
      <c r="O140" s="111"/>
      <c r="P140" s="23"/>
      <c r="Q140" s="164"/>
      <c r="U140" s="9"/>
    </row>
    <row r="141" spans="1:36">
      <c r="A141" s="27"/>
      <c r="B141" s="116">
        <f t="shared" si="12"/>
        <v>35024.038461538446</v>
      </c>
      <c r="C141" s="117">
        <f t="shared" si="8"/>
        <v>14.25</v>
      </c>
      <c r="D141" s="118">
        <f t="shared" si="9"/>
        <v>9.2380025888655661E-3</v>
      </c>
      <c r="E141" s="116">
        <f t="shared" si="11"/>
        <v>3791299.9184209392</v>
      </c>
      <c r="F141" s="117">
        <f t="shared" si="10"/>
        <v>0.97212818421049729</v>
      </c>
      <c r="G141" s="116">
        <f t="shared" si="7"/>
        <v>36028.210096575705</v>
      </c>
      <c r="H141" s="116"/>
      <c r="I141" s="19"/>
      <c r="J141" s="19"/>
      <c r="K141" s="19"/>
      <c r="L141" s="19"/>
      <c r="M141" s="91"/>
      <c r="N141" s="110"/>
      <c r="O141" s="111"/>
      <c r="P141" s="23"/>
      <c r="Q141" s="164"/>
      <c r="U141" s="9"/>
    </row>
    <row r="142" spans="1:36">
      <c r="A142" s="27"/>
      <c r="B142" s="116">
        <f t="shared" si="12"/>
        <v>35724.519230769212</v>
      </c>
      <c r="C142" s="117">
        <f t="shared" si="8"/>
        <v>14.25</v>
      </c>
      <c r="D142" s="118">
        <f t="shared" si="9"/>
        <v>9.5015585072730051E-3</v>
      </c>
      <c r="E142" s="116">
        <f t="shared" si="11"/>
        <v>3759858.8908781377</v>
      </c>
      <c r="F142" s="117">
        <f t="shared" si="10"/>
        <v>0.96406638227644559</v>
      </c>
      <c r="G142" s="116">
        <f t="shared" si="7"/>
        <v>37056.078178364718</v>
      </c>
      <c r="H142" s="116"/>
      <c r="I142" s="19"/>
      <c r="J142" s="19"/>
      <c r="K142" s="19"/>
      <c r="L142" s="23"/>
      <c r="M142" s="91"/>
      <c r="N142" s="110"/>
      <c r="O142" s="111"/>
      <c r="P142" s="23"/>
      <c r="Q142" s="164"/>
      <c r="U142" s="9"/>
    </row>
    <row r="143" spans="1:36">
      <c r="A143" s="27"/>
      <c r="B143" s="116">
        <f t="shared" si="12"/>
        <v>36424.999999999978</v>
      </c>
      <c r="C143" s="117">
        <f t="shared" si="8"/>
        <v>14.25</v>
      </c>
      <c r="D143" s="118">
        <f t="shared" si="9"/>
        <v>9.7900088364195007E-3</v>
      </c>
      <c r="E143" s="116">
        <f t="shared" si="11"/>
        <v>3720629.9410575088</v>
      </c>
      <c r="F143" s="117">
        <f t="shared" si="10"/>
        <v>0.95400767719423307</v>
      </c>
      <c r="G143" s="116">
        <f t="shared" si="7"/>
        <v>38181.034462036048</v>
      </c>
      <c r="H143" s="116"/>
      <c r="I143" s="19"/>
      <c r="J143" s="19"/>
      <c r="K143" s="19"/>
      <c r="L143" s="119"/>
      <c r="M143" s="91"/>
      <c r="N143" s="110"/>
      <c r="O143" s="111"/>
      <c r="P143" s="23"/>
      <c r="Q143" s="164"/>
      <c r="U143" s="9"/>
    </row>
    <row r="144" spans="1:36">
      <c r="A144" s="27"/>
      <c r="B144" s="116">
        <f t="shared" si="12"/>
        <v>37125.480769230744</v>
      </c>
      <c r="C144" s="117">
        <f t="shared" si="8"/>
        <v>14.25</v>
      </c>
      <c r="D144" s="118">
        <f t="shared" si="9"/>
        <v>1.0110033576105138E-2</v>
      </c>
      <c r="E144" s="116">
        <f t="shared" si="11"/>
        <v>3672142.1832837504</v>
      </c>
      <c r="F144" s="117">
        <f t="shared" si="10"/>
        <v>0.94157491879070521</v>
      </c>
      <c r="G144" s="116">
        <f t="shared" si="7"/>
        <v>39429.130946810037</v>
      </c>
      <c r="H144" s="116"/>
      <c r="I144" s="19"/>
      <c r="J144" s="19"/>
      <c r="K144" s="19"/>
      <c r="L144" s="119"/>
      <c r="M144" s="91"/>
      <c r="N144" s="110"/>
      <c r="O144" s="111"/>
      <c r="P144" s="23"/>
      <c r="Q144" s="164"/>
      <c r="U144" s="9"/>
      <c r="AJ144" s="19"/>
    </row>
    <row r="145" spans="1:36">
      <c r="A145" s="27"/>
      <c r="B145" s="116">
        <f t="shared" si="12"/>
        <v>37825.96153846151</v>
      </c>
      <c r="C145" s="117">
        <f t="shared" si="8"/>
        <v>14.25</v>
      </c>
      <c r="D145" s="118">
        <f t="shared" si="9"/>
        <v>1.0469924518924884E-2</v>
      </c>
      <c r="E145" s="116">
        <f t="shared" si="11"/>
        <v>3612820.8441320942</v>
      </c>
      <c r="F145" s="117">
        <f t="shared" si="10"/>
        <v>0.92636431900822924</v>
      </c>
      <c r="G145" s="116">
        <f t="shared" si="7"/>
        <v>40832.705623807051</v>
      </c>
      <c r="H145" s="116"/>
      <c r="I145" s="19"/>
      <c r="J145" s="19"/>
      <c r="K145" s="19"/>
      <c r="L145" s="119"/>
      <c r="M145" s="91"/>
      <c r="N145" s="110"/>
      <c r="O145" s="111"/>
      <c r="P145" s="23"/>
      <c r="Q145" s="164"/>
      <c r="U145" s="9"/>
      <c r="AJ145" s="19"/>
    </row>
    <row r="146" spans="1:36">
      <c r="A146" s="27"/>
      <c r="B146" s="116">
        <f t="shared" si="12"/>
        <v>38526.442307692276</v>
      </c>
      <c r="C146" s="117">
        <f t="shared" si="8"/>
        <v>14.25</v>
      </c>
      <c r="D146" s="118">
        <f t="shared" si="9"/>
        <v>1.0879932338075167E-2</v>
      </c>
      <c r="E146" s="116">
        <f t="shared" si="11"/>
        <v>3541055.321903612</v>
      </c>
      <c r="F146" s="117">
        <f t="shared" si="10"/>
        <v>0.90796290305220817</v>
      </c>
      <c r="G146" s="116">
        <f t="shared" si="7"/>
        <v>42431.736118493151</v>
      </c>
      <c r="H146" s="116"/>
      <c r="I146" s="19"/>
      <c r="J146" s="19"/>
      <c r="K146" s="19"/>
      <c r="L146" s="119"/>
      <c r="M146" s="91"/>
      <c r="N146" s="110"/>
      <c r="O146" s="111"/>
      <c r="P146" s="23"/>
      <c r="Q146" s="164"/>
      <c r="U146" s="9"/>
      <c r="X146" s="120"/>
      <c r="Y146" s="19"/>
      <c r="AJ146" s="23"/>
    </row>
    <row r="147" spans="1:36">
      <c r="A147" s="27"/>
      <c r="B147" s="116">
        <f t="shared" si="12"/>
        <v>39226.923076923042</v>
      </c>
      <c r="C147" s="117">
        <f t="shared" si="8"/>
        <v>14.25</v>
      </c>
      <c r="D147" s="118">
        <f t="shared" si="9"/>
        <v>1.1352679773497987E-2</v>
      </c>
      <c r="E147" s="116">
        <f t="shared" si="11"/>
        <v>3455300.7624239931</v>
      </c>
      <c r="F147" s="117">
        <f t="shared" si="10"/>
        <v>0.88597455446769058</v>
      </c>
      <c r="G147" s="116">
        <f t="shared" si="7"/>
        <v>44275.451116642151</v>
      </c>
      <c r="H147" s="116"/>
      <c r="I147" s="19"/>
      <c r="J147" s="19"/>
      <c r="K147" s="19"/>
      <c r="L147" s="119"/>
      <c r="M147" s="91"/>
      <c r="N147" s="110"/>
      <c r="O147" s="111"/>
      <c r="P147" s="23"/>
      <c r="Q147" s="164"/>
      <c r="U147" s="9"/>
      <c r="X147" s="21"/>
      <c r="Y147" s="19"/>
      <c r="AJ147" s="23"/>
    </row>
    <row r="148" spans="1:36">
      <c r="A148" s="27"/>
      <c r="B148" s="116">
        <f t="shared" si="12"/>
        <v>39927.403846153808</v>
      </c>
      <c r="C148" s="117">
        <f t="shared" si="8"/>
        <v>14.25</v>
      </c>
      <c r="D148" s="118">
        <f t="shared" si="9"/>
        <v>1.190365192231E-2</v>
      </c>
      <c r="E148" s="116">
        <f t="shared" si="11"/>
        <v>3354214.6651080479</v>
      </c>
      <c r="F148" s="117">
        <f t="shared" si="10"/>
        <v>0.86005504233539687</v>
      </c>
      <c r="G148" s="116">
        <f t="shared" si="7"/>
        <v>46424.242497009</v>
      </c>
      <c r="H148" s="116"/>
      <c r="I148" s="19"/>
      <c r="J148" s="19"/>
      <c r="K148" s="19"/>
      <c r="L148" s="119"/>
      <c r="M148" s="91"/>
      <c r="N148" s="110"/>
      <c r="O148" s="111"/>
      <c r="P148" s="23"/>
      <c r="Q148" s="164"/>
      <c r="U148" s="9"/>
      <c r="X148" s="21"/>
      <c r="Y148" s="19"/>
      <c r="AJ148" s="23"/>
    </row>
    <row r="149" spans="1:36">
      <c r="A149" s="27"/>
      <c r="B149" s="116">
        <f t="shared" si="12"/>
        <v>40627.884615384573</v>
      </c>
      <c r="C149" s="117">
        <f t="shared" si="8"/>
        <v>14.25</v>
      </c>
      <c r="D149" s="118">
        <f t="shared" si="9"/>
        <v>1.2551776218841145E-2</v>
      </c>
      <c r="E149" s="116">
        <f t="shared" si="11"/>
        <v>3236823.5305533181</v>
      </c>
      <c r="F149" s="117">
        <f t="shared" si="10"/>
        <v>0.82995475142392772</v>
      </c>
      <c r="G149" s="116">
        <f t="shared" si="7"/>
        <v>48951.92725348047</v>
      </c>
      <c r="H149" s="116"/>
      <c r="I149" s="19"/>
      <c r="J149" s="19"/>
      <c r="K149" s="19"/>
      <c r="L149" s="19"/>
      <c r="M149" s="91"/>
      <c r="N149" s="110"/>
      <c r="O149" s="111"/>
      <c r="P149" s="23"/>
      <c r="Q149" s="164"/>
      <c r="U149" s="9"/>
      <c r="X149" s="21"/>
      <c r="Y149" s="19"/>
      <c r="AJ149" s="23"/>
    </row>
    <row r="150" spans="1:36" s="8" customFormat="1">
      <c r="A150" s="27"/>
      <c r="B150" s="116">
        <f t="shared" si="12"/>
        <v>41328.365384615339</v>
      </c>
      <c r="C150" s="117">
        <f t="shared" si="8"/>
        <v>14.25</v>
      </c>
      <c r="D150" s="118">
        <f t="shared" si="9"/>
        <v>1.3320106460666555E-2</v>
      </c>
      <c r="E150" s="116">
        <f t="shared" si="11"/>
        <v>3102705.3354757656</v>
      </c>
      <c r="F150" s="117">
        <f t="shared" si="10"/>
        <v>0.79556547063481176</v>
      </c>
      <c r="G150" s="116">
        <f t="shared" si="7"/>
        <v>51948.415196599562</v>
      </c>
      <c r="H150" s="116"/>
      <c r="I150" s="19"/>
      <c r="J150" s="23"/>
      <c r="K150" s="23"/>
      <c r="L150" s="19"/>
      <c r="M150" s="91"/>
      <c r="N150" s="110"/>
      <c r="O150" s="111"/>
      <c r="P150" s="23"/>
      <c r="Q150" s="164"/>
      <c r="R150" s="111"/>
      <c r="S150" s="111"/>
      <c r="T150" s="111"/>
      <c r="V150" s="9"/>
      <c r="X150" s="21"/>
      <c r="Y150" s="23"/>
      <c r="AI150" s="9"/>
      <c r="AJ150" s="23"/>
    </row>
    <row r="151" spans="1:36" s="8" customFormat="1">
      <c r="A151" s="27"/>
      <c r="B151" s="116">
        <f>H31</f>
        <v>42028.846153846149</v>
      </c>
      <c r="C151" s="117">
        <f t="shared" si="8"/>
        <v>23.181137032534139</v>
      </c>
      <c r="D151" s="118">
        <f t="shared" si="9"/>
        <v>1.423662721893491E-2</v>
      </c>
      <c r="E151" s="116">
        <f t="shared" si="11"/>
        <v>2952163.1428227047</v>
      </c>
      <c r="F151" s="117">
        <f t="shared" si="10"/>
        <v>0.75696490841607811</v>
      </c>
      <c r="G151" s="116">
        <f t="shared" si="7"/>
        <v>55522.846153846156</v>
      </c>
      <c r="H151" s="116"/>
      <c r="I151" s="19"/>
      <c r="J151" s="23"/>
      <c r="K151" s="23"/>
      <c r="L151" s="19"/>
      <c r="M151" s="91"/>
      <c r="N151" s="110"/>
      <c r="O151" s="111"/>
      <c r="P151" s="23"/>
      <c r="Q151" s="164"/>
      <c r="R151" s="111"/>
      <c r="S151" s="111"/>
      <c r="T151" s="111"/>
      <c r="V151" s="9"/>
      <c r="X151" s="21"/>
      <c r="Y151" s="23"/>
      <c r="AI151" s="9"/>
      <c r="AJ151" s="23"/>
    </row>
    <row r="152" spans="1:36" s="8" customFormat="1">
      <c r="A152" s="27"/>
      <c r="B152" s="116">
        <f>B151+$V$134</f>
        <v>42650.240384615383</v>
      </c>
      <c r="C152" s="117">
        <f t="shared" si="8"/>
        <v>23.181137032534139</v>
      </c>
      <c r="D152" s="118">
        <f t="shared" si="9"/>
        <v>1.5798161536896799E-2</v>
      </c>
      <c r="E152" s="116">
        <f t="shared" si="11"/>
        <v>2699696.4352469258</v>
      </c>
      <c r="F152" s="117">
        <f t="shared" si="10"/>
        <v>0.69222985519151947</v>
      </c>
      <c r="G152" s="116">
        <f t="shared" si="7"/>
        <v>61612.829993897511</v>
      </c>
      <c r="H152" s="116"/>
      <c r="I152" s="19"/>
      <c r="J152" s="23"/>
      <c r="K152" s="23"/>
      <c r="L152" s="19"/>
      <c r="M152" s="91"/>
      <c r="N152" s="110"/>
      <c r="O152" s="111"/>
      <c r="P152" s="23"/>
      <c r="Q152" s="164"/>
      <c r="R152" s="111"/>
      <c r="S152" s="111"/>
      <c r="T152" s="111"/>
      <c r="V152" s="9"/>
      <c r="X152" s="21"/>
      <c r="Y152" s="23"/>
      <c r="AI152" s="9"/>
      <c r="AJ152" s="23"/>
    </row>
    <row r="153" spans="1:36" s="8" customFormat="1">
      <c r="A153" s="27"/>
      <c r="B153" s="116">
        <f t="shared" ref="B153:B158" si="13">B152+$V$134</f>
        <v>43271.634615384617</v>
      </c>
      <c r="C153" s="117">
        <f t="shared" si="8"/>
        <v>23.181137032534139</v>
      </c>
      <c r="D153" s="118">
        <f t="shared" si="9"/>
        <v>1.7894411189474636E-2</v>
      </c>
      <c r="E153" s="116">
        <f t="shared" si="11"/>
        <v>2418164.764249783</v>
      </c>
      <c r="F153" s="117">
        <f t="shared" si="10"/>
        <v>0.62004224724353407</v>
      </c>
      <c r="G153" s="116">
        <f t="shared" si="7"/>
        <v>69788.20363895109</v>
      </c>
      <c r="H153" s="116"/>
      <c r="I153" s="19"/>
      <c r="J153" s="23"/>
      <c r="K153" s="23"/>
      <c r="L153" s="19"/>
      <c r="M153" s="91"/>
      <c r="N153" s="110"/>
      <c r="O153" s="111"/>
      <c r="P153" s="23"/>
      <c r="Q153" s="164"/>
      <c r="R153" s="111"/>
      <c r="S153" s="111"/>
      <c r="T153" s="111"/>
      <c r="V153" s="9"/>
      <c r="X153" s="21"/>
      <c r="Y153" s="23"/>
      <c r="AI153" s="9"/>
      <c r="AJ153" s="23"/>
    </row>
    <row r="154" spans="1:36" s="8" customFormat="1">
      <c r="A154" s="27"/>
      <c r="B154" s="116">
        <f t="shared" si="13"/>
        <v>43893.028846153851</v>
      </c>
      <c r="C154" s="117">
        <f t="shared" si="8"/>
        <v>23.181137032534139</v>
      </c>
      <c r="D154" s="118">
        <f t="shared" si="9"/>
        <v>2.0716909411957123E-2</v>
      </c>
      <c r="E154" s="116">
        <f t="shared" si="11"/>
        <v>2118705.4484497686</v>
      </c>
      <c r="F154" s="117">
        <f t="shared" si="10"/>
        <v>0.54325780729481243</v>
      </c>
      <c r="G154" s="116">
        <f t="shared" si="7"/>
        <v>80795.946706632792</v>
      </c>
      <c r="H154" s="116"/>
      <c r="I154" s="19"/>
      <c r="J154" s="23"/>
      <c r="K154" s="23"/>
      <c r="L154" s="19"/>
      <c r="M154" s="91"/>
      <c r="N154" s="110"/>
      <c r="O154" s="111"/>
      <c r="P154" s="23"/>
      <c r="Q154" s="164"/>
      <c r="R154" s="111"/>
      <c r="S154" s="111"/>
      <c r="T154" s="111"/>
      <c r="V154" s="9"/>
      <c r="X154" s="21"/>
      <c r="Y154" s="23"/>
      <c r="AI154" s="9"/>
      <c r="AJ154" s="23"/>
    </row>
    <row r="155" spans="1:36" s="8" customFormat="1">
      <c r="A155" s="27"/>
      <c r="B155" s="116">
        <f t="shared" si="13"/>
        <v>44514.423076923085</v>
      </c>
      <c r="C155" s="117">
        <f t="shared" si="8"/>
        <v>23.181137032534139</v>
      </c>
      <c r="D155" s="118">
        <f t="shared" si="9"/>
        <v>2.4521505356257828E-2</v>
      </c>
      <c r="E155" s="116">
        <f t="shared" si="11"/>
        <v>1815321.7932667872</v>
      </c>
      <c r="F155" s="117">
        <f t="shared" si="10"/>
        <v>0.4654671264786634</v>
      </c>
      <c r="G155" s="116">
        <f t="shared" si="7"/>
        <v>95633.870889405516</v>
      </c>
      <c r="H155" s="116"/>
      <c r="I155" s="19"/>
      <c r="J155" s="23"/>
      <c r="K155" s="23"/>
      <c r="L155" s="19"/>
      <c r="M155" s="91"/>
      <c r="N155" s="110"/>
      <c r="O155" s="111"/>
      <c r="P155" s="23"/>
      <c r="Q155" s="164"/>
      <c r="R155" s="111"/>
      <c r="S155" s="111"/>
      <c r="T155" s="111"/>
      <c r="V155" s="9"/>
      <c r="X155" s="21"/>
      <c r="Y155" s="23"/>
      <c r="AI155" s="9"/>
      <c r="AJ155" s="23"/>
    </row>
    <row r="156" spans="1:36" s="8" customFormat="1">
      <c r="A156" s="27"/>
      <c r="B156" s="116">
        <f t="shared" si="13"/>
        <v>45135.817307692319</v>
      </c>
      <c r="C156" s="117">
        <f t="shared" si="8"/>
        <v>23.181137032534139</v>
      </c>
      <c r="D156" s="118">
        <f t="shared" si="9"/>
        <v>2.964856574129365E-2</v>
      </c>
      <c r="E156" s="116">
        <f t="shared" si="11"/>
        <v>1522360.9027680042</v>
      </c>
      <c r="F156" s="117">
        <f t="shared" si="10"/>
        <v>0.39034894942769338</v>
      </c>
      <c r="G156" s="116">
        <f t="shared" si="7"/>
        <v>115629.40639104522</v>
      </c>
      <c r="H156" s="116"/>
      <c r="I156" s="19"/>
      <c r="J156" s="23"/>
      <c r="K156" s="23"/>
      <c r="L156" s="19"/>
      <c r="M156" s="91"/>
      <c r="N156" s="110"/>
      <c r="O156" s="111"/>
      <c r="P156" s="23"/>
      <c r="Q156" s="164"/>
      <c r="R156" s="111"/>
      <c r="S156" s="111"/>
      <c r="T156" s="111"/>
      <c r="V156" s="9"/>
      <c r="X156" s="21"/>
      <c r="Y156" s="23"/>
      <c r="AI156" s="9"/>
      <c r="AJ156" s="23"/>
    </row>
    <row r="157" spans="1:36" s="8" customFormat="1">
      <c r="A157" s="27"/>
      <c r="B157" s="116">
        <f t="shared" si="13"/>
        <v>45757.211538461554</v>
      </c>
      <c r="C157" s="117">
        <f t="shared" si="8"/>
        <v>23.181137032534139</v>
      </c>
      <c r="D157" s="118">
        <f t="shared" si="9"/>
        <v>3.6549097201363442E-2</v>
      </c>
      <c r="E157" s="116">
        <f t="shared" si="11"/>
        <v>1251938.2157749881</v>
      </c>
      <c r="F157" s="117">
        <f t="shared" si="10"/>
        <v>0.32100979891666359</v>
      </c>
      <c r="G157" s="116">
        <f t="shared" si="7"/>
        <v>142541.47908531741</v>
      </c>
      <c r="H157" s="116"/>
      <c r="I157" s="19"/>
      <c r="J157" s="23"/>
      <c r="K157" s="23"/>
      <c r="L157" s="19"/>
      <c r="M157" s="91"/>
      <c r="N157" s="110"/>
      <c r="O157" s="111"/>
      <c r="P157" s="23"/>
      <c r="Q157" s="164"/>
      <c r="R157" s="111"/>
      <c r="S157" s="111"/>
      <c r="T157" s="111"/>
      <c r="V157" s="9"/>
      <c r="X157" s="21"/>
      <c r="Y157" s="23"/>
      <c r="AI157" s="9"/>
      <c r="AJ157" s="23"/>
    </row>
    <row r="158" spans="1:36" s="8" customFormat="1">
      <c r="A158" s="27"/>
      <c r="B158" s="116">
        <f t="shared" si="13"/>
        <v>46378.605769230788</v>
      </c>
      <c r="C158" s="117">
        <f t="shared" si="8"/>
        <v>23.181137032534139</v>
      </c>
      <c r="D158" s="118">
        <f t="shared" si="9"/>
        <v>4.5818403926433902E-2</v>
      </c>
      <c r="E158" s="116">
        <f t="shared" si="11"/>
        <v>1012226.5682518393</v>
      </c>
      <c r="F158" s="117">
        <f t="shared" si="10"/>
        <v>0.25954527391072801</v>
      </c>
      <c r="G158" s="116">
        <f t="shared" si="7"/>
        <v>178691.77531309222</v>
      </c>
      <c r="H158" s="116"/>
      <c r="I158" s="19"/>
      <c r="J158" s="23"/>
      <c r="K158" s="23"/>
      <c r="L158" s="19"/>
      <c r="M158" s="91"/>
      <c r="N158" s="110"/>
      <c r="O158" s="111"/>
      <c r="P158" s="23"/>
      <c r="Q158" s="164"/>
      <c r="R158" s="111"/>
      <c r="S158" s="111"/>
      <c r="T158" s="111"/>
      <c r="V158" s="9"/>
      <c r="X158" s="21"/>
      <c r="Y158" s="23"/>
      <c r="AI158" s="9"/>
      <c r="AJ158" s="23"/>
    </row>
    <row r="159" spans="1:36" s="8" customFormat="1">
      <c r="A159" s="27"/>
      <c r="B159" s="116">
        <f>D27</f>
        <v>47000</v>
      </c>
      <c r="C159" s="117">
        <f t="shared" si="8"/>
        <v>23.181137032534139</v>
      </c>
      <c r="D159" s="118">
        <f t="shared" si="9"/>
        <v>5.8239303586452108E-2</v>
      </c>
      <c r="E159" s="116">
        <f t="shared" si="11"/>
        <v>807015.14451030199</v>
      </c>
      <c r="F159" s="117">
        <f t="shared" si="10"/>
        <v>0.20692696013084666</v>
      </c>
      <c r="G159" s="116">
        <f t="shared" si="7"/>
        <v>227133.28398716325</v>
      </c>
      <c r="H159" s="116"/>
      <c r="I159" s="19"/>
      <c r="J159" s="23"/>
      <c r="K159" s="23"/>
      <c r="L159" s="19"/>
      <c r="M159" s="91"/>
      <c r="N159" s="110"/>
      <c r="O159" s="111"/>
      <c r="P159" s="23"/>
      <c r="Q159" s="164"/>
      <c r="R159" s="111"/>
      <c r="S159" s="111"/>
      <c r="T159" s="111"/>
      <c r="V159" s="9"/>
      <c r="X159" s="21"/>
      <c r="Y159" s="23"/>
      <c r="AI159" s="9"/>
      <c r="AJ159" s="23"/>
    </row>
    <row r="160" spans="1:36" s="8" customFormat="1">
      <c r="A160" s="27"/>
      <c r="B160" s="116"/>
      <c r="C160" s="117"/>
      <c r="D160" s="118"/>
      <c r="E160" s="116"/>
      <c r="F160" s="117"/>
      <c r="G160" s="116"/>
      <c r="H160" s="116"/>
      <c r="I160" s="19"/>
      <c r="J160" s="23"/>
      <c r="K160" s="23"/>
      <c r="L160" s="19"/>
      <c r="M160" s="91"/>
      <c r="N160" s="110"/>
      <c r="O160" s="111"/>
      <c r="P160" s="23"/>
      <c r="Q160" s="164"/>
      <c r="R160" s="111"/>
      <c r="S160" s="111"/>
      <c r="T160" s="111"/>
      <c r="V160" s="9"/>
      <c r="X160" s="21"/>
      <c r="Y160" s="23"/>
      <c r="AI160" s="9"/>
      <c r="AJ160" s="23"/>
    </row>
    <row r="161" spans="1:43" s="8" customFormat="1">
      <c r="A161" s="27"/>
      <c r="B161" s="116"/>
      <c r="C161" s="117"/>
      <c r="D161" s="118"/>
      <c r="E161" s="116"/>
      <c r="F161" s="117"/>
      <c r="G161" s="116"/>
      <c r="H161" s="116"/>
      <c r="I161" s="19"/>
      <c r="J161" s="23"/>
      <c r="K161" s="23"/>
      <c r="L161" s="19"/>
      <c r="M161" s="91"/>
      <c r="N161" s="110"/>
      <c r="O161" s="111"/>
      <c r="P161" s="23"/>
      <c r="Q161" s="164"/>
      <c r="R161" s="111"/>
      <c r="S161" s="111"/>
      <c r="T161" s="111"/>
      <c r="V161" s="9"/>
      <c r="X161" s="21"/>
      <c r="Y161" s="23"/>
      <c r="AI161" s="9"/>
      <c r="AJ161" s="23"/>
    </row>
    <row r="162" spans="1:43" s="8" customFormat="1">
      <c r="A162" s="27"/>
      <c r="B162" s="116"/>
      <c r="C162" s="117"/>
      <c r="D162" s="118"/>
      <c r="E162" s="116"/>
      <c r="F162" s="117"/>
      <c r="G162" s="116"/>
      <c r="H162" s="116"/>
      <c r="I162" s="19"/>
      <c r="J162" s="23"/>
      <c r="K162" s="23"/>
      <c r="L162" s="19"/>
      <c r="M162" s="91"/>
      <c r="N162" s="110"/>
      <c r="O162" s="111"/>
      <c r="P162" s="23"/>
      <c r="Q162" s="164"/>
      <c r="R162" s="111"/>
      <c r="S162" s="111"/>
      <c r="T162" s="111"/>
      <c r="V162" s="9"/>
      <c r="X162" s="21"/>
      <c r="Y162" s="23"/>
      <c r="AI162" s="9"/>
      <c r="AJ162" s="23"/>
    </row>
    <row r="163" spans="1:43" s="8" customFormat="1">
      <c r="A163" s="27"/>
      <c r="B163" s="116"/>
      <c r="C163" s="117"/>
      <c r="D163" s="118"/>
      <c r="E163" s="116"/>
      <c r="F163" s="117"/>
      <c r="G163" s="116"/>
      <c r="H163" s="116"/>
      <c r="I163" s="19"/>
      <c r="J163" s="23"/>
      <c r="K163" s="23"/>
      <c r="L163" s="19"/>
      <c r="M163" s="91"/>
      <c r="N163" s="110"/>
      <c r="O163" s="111"/>
      <c r="P163" s="23"/>
      <c r="Q163" s="164"/>
      <c r="R163" s="111"/>
      <c r="S163" s="111"/>
      <c r="T163" s="111"/>
      <c r="V163" s="9"/>
      <c r="X163" s="21"/>
      <c r="Y163" s="23"/>
      <c r="AI163" s="9"/>
      <c r="AJ163" s="23"/>
    </row>
    <row r="164" spans="1:43" s="8" customFormat="1">
      <c r="A164" s="27"/>
      <c r="B164" s="116"/>
      <c r="C164" s="117"/>
      <c r="D164" s="118"/>
      <c r="E164" s="116"/>
      <c r="F164" s="117"/>
      <c r="G164" s="116"/>
      <c r="H164" s="116"/>
      <c r="I164" s="19"/>
      <c r="J164" s="23"/>
      <c r="K164" s="23"/>
      <c r="L164" s="19"/>
      <c r="M164" s="91"/>
      <c r="N164" s="110"/>
      <c r="O164" s="111"/>
      <c r="P164" s="23"/>
      <c r="Q164" s="164"/>
      <c r="R164" s="111"/>
      <c r="S164" s="111"/>
      <c r="T164" s="163"/>
      <c r="U164" s="82"/>
      <c r="V164" s="30"/>
      <c r="W164" s="82"/>
      <c r="X164" s="29"/>
      <c r="Y164" s="38"/>
      <c r="Z164" s="82"/>
      <c r="AA164" s="82"/>
      <c r="AB164" s="82"/>
      <c r="AC164" s="82"/>
      <c r="AD164" s="82"/>
      <c r="AE164" s="82"/>
      <c r="AF164" s="82"/>
      <c r="AG164" s="82"/>
      <c r="AH164" s="82"/>
      <c r="AI164" s="30"/>
      <c r="AJ164" s="38"/>
      <c r="AK164" s="82"/>
      <c r="AL164" s="82"/>
      <c r="AM164" s="82"/>
      <c r="AN164" s="82"/>
      <c r="AO164" s="82"/>
      <c r="AP164" s="82"/>
      <c r="AQ164" s="82"/>
    </row>
    <row r="165" spans="1:43" s="8" customFormat="1">
      <c r="A165" s="27"/>
      <c r="B165" s="116"/>
      <c r="C165" s="117"/>
      <c r="D165" s="118"/>
      <c r="E165" s="116"/>
      <c r="F165" s="117"/>
      <c r="G165" s="116"/>
      <c r="H165" s="116"/>
      <c r="I165" s="19"/>
      <c r="J165" s="23"/>
      <c r="K165" s="23"/>
      <c r="L165" s="19"/>
      <c r="M165" s="91"/>
      <c r="N165" s="110"/>
      <c r="O165" s="111"/>
      <c r="P165" s="23"/>
      <c r="Q165" s="164"/>
      <c r="R165" s="111"/>
      <c r="S165" s="111"/>
      <c r="T165" s="163"/>
      <c r="U165" s="82"/>
      <c r="V165" s="30"/>
      <c r="W165" s="82"/>
      <c r="X165" s="29"/>
      <c r="Y165" s="38"/>
      <c r="Z165" s="82"/>
      <c r="AA165" s="82"/>
      <c r="AB165" s="82"/>
      <c r="AC165" s="82"/>
      <c r="AD165" s="82"/>
      <c r="AE165" s="82"/>
      <c r="AF165" s="82"/>
      <c r="AG165" s="82"/>
      <c r="AH165" s="82"/>
      <c r="AI165" s="30"/>
      <c r="AJ165" s="38"/>
      <c r="AK165" s="82"/>
      <c r="AL165" s="82"/>
      <c r="AM165" s="82"/>
      <c r="AN165" s="82"/>
      <c r="AO165" s="82"/>
      <c r="AP165" s="82"/>
      <c r="AQ165" s="82"/>
    </row>
    <row r="166" spans="1:43" s="8" customFormat="1">
      <c r="A166" s="27"/>
      <c r="B166" s="116"/>
      <c r="C166" s="117"/>
      <c r="D166" s="118"/>
      <c r="E166" s="116"/>
      <c r="F166" s="117"/>
      <c r="G166" s="116"/>
      <c r="H166" s="116"/>
      <c r="I166" s="19"/>
      <c r="J166" s="23"/>
      <c r="K166" s="23"/>
      <c r="L166" s="19"/>
      <c r="M166" s="91"/>
      <c r="N166" s="110"/>
      <c r="O166" s="111"/>
      <c r="P166" s="23"/>
      <c r="Q166" s="164"/>
      <c r="R166" s="111"/>
      <c r="S166" s="111"/>
      <c r="T166" s="163"/>
      <c r="U166" s="82"/>
      <c r="V166" s="30"/>
      <c r="W166" s="82"/>
      <c r="X166" s="29"/>
      <c r="Y166" s="38"/>
      <c r="Z166" s="82"/>
      <c r="AA166" s="82"/>
      <c r="AB166" s="82"/>
      <c r="AC166" s="82"/>
      <c r="AD166" s="82"/>
      <c r="AE166" s="82"/>
      <c r="AF166" s="82"/>
      <c r="AG166" s="82"/>
      <c r="AH166" s="82"/>
      <c r="AI166" s="30"/>
      <c r="AJ166" s="38"/>
      <c r="AK166" s="82"/>
      <c r="AL166" s="82"/>
      <c r="AM166" s="82"/>
      <c r="AN166" s="82"/>
      <c r="AO166" s="82"/>
      <c r="AP166" s="82"/>
      <c r="AQ166" s="82"/>
    </row>
    <row r="167" spans="1:43" s="8" customFormat="1">
      <c r="A167" s="27"/>
      <c r="B167" s="116"/>
      <c r="C167" s="117"/>
      <c r="D167" s="118"/>
      <c r="E167" s="116"/>
      <c r="F167" s="117"/>
      <c r="G167" s="116"/>
      <c r="H167" s="116"/>
      <c r="I167" s="19"/>
      <c r="J167" s="23"/>
      <c r="K167" s="23"/>
      <c r="L167" s="19"/>
      <c r="M167" s="91"/>
      <c r="N167" s="110"/>
      <c r="O167" s="111"/>
      <c r="P167" s="23"/>
      <c r="Q167" s="164"/>
      <c r="R167" s="111"/>
      <c r="S167" s="111"/>
      <c r="T167" s="163"/>
      <c r="U167" s="82"/>
      <c r="V167" s="30"/>
      <c r="W167" s="82"/>
      <c r="X167" s="29"/>
      <c r="Y167" s="38"/>
      <c r="Z167" s="82"/>
      <c r="AA167" s="82"/>
      <c r="AB167" s="82"/>
      <c r="AC167" s="82"/>
      <c r="AD167" s="82"/>
      <c r="AE167" s="82"/>
      <c r="AF167" s="82"/>
      <c r="AG167" s="82"/>
      <c r="AH167" s="82"/>
      <c r="AI167" s="30"/>
      <c r="AJ167" s="38"/>
      <c r="AK167" s="82"/>
      <c r="AL167" s="82"/>
      <c r="AM167" s="82"/>
      <c r="AN167" s="82"/>
      <c r="AO167" s="82"/>
      <c r="AP167" s="82"/>
      <c r="AQ167" s="82"/>
    </row>
    <row r="168" spans="1:43" s="8" customFormat="1">
      <c r="A168" s="27"/>
      <c r="B168" s="116"/>
      <c r="C168" s="117"/>
      <c r="D168" s="118"/>
      <c r="E168" s="116"/>
      <c r="F168" s="117"/>
      <c r="G168" s="116"/>
      <c r="H168" s="116"/>
      <c r="I168" s="19"/>
      <c r="J168" s="23"/>
      <c r="K168" s="23"/>
      <c r="L168" s="19"/>
      <c r="M168" s="91"/>
      <c r="N168" s="110"/>
      <c r="O168" s="111"/>
      <c r="P168" s="23"/>
      <c r="Q168" s="164"/>
      <c r="R168" s="111"/>
      <c r="S168" s="111"/>
      <c r="T168" s="163"/>
      <c r="U168" s="82"/>
      <c r="V168" s="30"/>
      <c r="W168" s="82"/>
      <c r="X168" s="29"/>
      <c r="Y168" s="38"/>
      <c r="Z168" s="82"/>
      <c r="AA168" s="82"/>
      <c r="AB168" s="82"/>
      <c r="AC168" s="82"/>
      <c r="AD168" s="82"/>
      <c r="AE168" s="82"/>
      <c r="AF168" s="82"/>
      <c r="AG168" s="82"/>
      <c r="AH168" s="82"/>
      <c r="AI168" s="30"/>
      <c r="AJ168" s="38"/>
      <c r="AK168" s="82"/>
      <c r="AL168" s="82"/>
      <c r="AM168" s="82"/>
      <c r="AN168" s="82"/>
      <c r="AO168" s="82"/>
      <c r="AP168" s="82"/>
      <c r="AQ168" s="82"/>
    </row>
    <row r="169" spans="1:43" s="8" customFormat="1">
      <c r="A169" s="27"/>
      <c r="B169" s="116"/>
      <c r="C169" s="117"/>
      <c r="D169" s="118"/>
      <c r="E169" s="116"/>
      <c r="F169" s="117"/>
      <c r="G169" s="116"/>
      <c r="H169" s="116"/>
      <c r="I169" s="19"/>
      <c r="J169" s="23"/>
      <c r="K169" s="23"/>
      <c r="L169" s="19"/>
      <c r="M169" s="91"/>
      <c r="N169" s="110"/>
      <c r="O169" s="111"/>
      <c r="P169" s="23"/>
      <c r="Q169" s="164"/>
      <c r="R169" s="111"/>
      <c r="S169" s="111"/>
      <c r="T169" s="163"/>
      <c r="U169" s="82"/>
      <c r="V169" s="30"/>
      <c r="W169" s="82"/>
      <c r="X169" s="29"/>
      <c r="Y169" s="38"/>
      <c r="Z169" s="82"/>
      <c r="AA169" s="82"/>
      <c r="AB169" s="82"/>
      <c r="AC169" s="82"/>
      <c r="AD169" s="82"/>
      <c r="AE169" s="82"/>
      <c r="AF169" s="82"/>
      <c r="AG169" s="82"/>
      <c r="AH169" s="82"/>
      <c r="AI169" s="30"/>
      <c r="AJ169" s="38"/>
      <c r="AK169" s="82"/>
      <c r="AL169" s="82"/>
      <c r="AM169" s="82"/>
      <c r="AN169" s="82"/>
      <c r="AO169" s="82"/>
      <c r="AP169" s="82"/>
      <c r="AQ169" s="82"/>
    </row>
    <row r="170" spans="1:43" s="8" customFormat="1">
      <c r="A170" s="27"/>
      <c r="C170" s="80"/>
      <c r="D170" s="27"/>
      <c r="E170" s="27"/>
      <c r="F170" s="27"/>
      <c r="G170" s="80"/>
      <c r="H170" s="27"/>
      <c r="I170" s="27"/>
      <c r="J170" s="27"/>
      <c r="K170" s="27"/>
      <c r="L170" s="19"/>
      <c r="M170" s="91"/>
      <c r="N170" s="110"/>
      <c r="O170" s="111"/>
      <c r="P170" s="23"/>
      <c r="Q170" s="164"/>
      <c r="R170" s="111"/>
      <c r="S170" s="111"/>
      <c r="T170" s="163"/>
      <c r="U170" s="82"/>
      <c r="V170" s="30"/>
      <c r="W170" s="82"/>
      <c r="X170" s="29"/>
      <c r="Y170" s="38"/>
      <c r="Z170" s="82"/>
      <c r="AA170" s="82"/>
      <c r="AB170" s="82"/>
      <c r="AC170" s="82"/>
      <c r="AD170" s="82"/>
      <c r="AE170" s="82"/>
      <c r="AF170" s="82"/>
      <c r="AG170" s="82"/>
      <c r="AH170" s="82"/>
      <c r="AI170" s="30"/>
      <c r="AJ170" s="38"/>
      <c r="AK170" s="82"/>
      <c r="AL170" s="82"/>
      <c r="AM170" s="82"/>
      <c r="AN170" s="82"/>
      <c r="AO170" s="82"/>
      <c r="AP170" s="82"/>
      <c r="AQ170" s="82"/>
    </row>
    <row r="171" spans="1:43" s="8" customFormat="1">
      <c r="A171" s="27"/>
      <c r="B171" s="193"/>
      <c r="C171" s="80"/>
      <c r="D171" s="28"/>
      <c r="E171" s="28"/>
      <c r="F171" s="194" t="s">
        <v>276</v>
      </c>
      <c r="G171" s="80"/>
      <c r="H171" s="28"/>
      <c r="I171" s="28"/>
      <c r="J171" s="28"/>
      <c r="K171" s="27"/>
      <c r="L171" s="19"/>
      <c r="M171" s="91"/>
      <c r="N171" s="110"/>
      <c r="O171" s="111"/>
      <c r="P171" s="23"/>
      <c r="Q171" s="164"/>
      <c r="R171" s="111"/>
      <c r="S171" s="111"/>
      <c r="T171" s="163"/>
      <c r="U171" s="82"/>
      <c r="V171" s="30"/>
      <c r="W171" s="82"/>
      <c r="X171" s="29"/>
      <c r="Y171" s="38"/>
      <c r="Z171" s="82"/>
      <c r="AA171" s="82"/>
      <c r="AB171" s="82"/>
      <c r="AC171" s="82"/>
      <c r="AD171" s="82"/>
      <c r="AE171" s="82"/>
      <c r="AF171" s="82"/>
      <c r="AG171" s="82"/>
      <c r="AH171" s="82"/>
      <c r="AI171" s="30"/>
      <c r="AJ171" s="38"/>
      <c r="AK171" s="82"/>
      <c r="AL171" s="82"/>
      <c r="AM171" s="82"/>
      <c r="AN171" s="82"/>
      <c r="AO171" s="82"/>
      <c r="AP171" s="82"/>
      <c r="AQ171" s="82"/>
    </row>
    <row r="172" spans="1:43" s="8" customFormat="1">
      <c r="A172" s="27"/>
      <c r="B172" s="28"/>
      <c r="C172" s="28"/>
      <c r="D172" s="28"/>
      <c r="E172" s="28"/>
      <c r="F172" s="204" t="s">
        <v>292</v>
      </c>
      <c r="G172" s="28"/>
      <c r="H172" s="28"/>
      <c r="I172" s="28"/>
      <c r="J172" s="28"/>
      <c r="K172" s="27"/>
      <c r="L172" s="19"/>
      <c r="M172" s="91"/>
      <c r="N172" s="110"/>
      <c r="O172" s="111"/>
      <c r="P172" s="23"/>
      <c r="Q172" s="164"/>
      <c r="R172" s="111"/>
      <c r="S172" s="111"/>
      <c r="T172" s="163"/>
      <c r="U172" s="82"/>
      <c r="V172" s="30"/>
      <c r="W172" s="82"/>
      <c r="X172" s="29"/>
      <c r="Y172" s="38"/>
      <c r="Z172" s="82"/>
      <c r="AA172" s="82"/>
      <c r="AB172" s="82"/>
      <c r="AC172" s="82"/>
      <c r="AD172" s="82"/>
      <c r="AE172" s="82"/>
      <c r="AF172" s="82"/>
      <c r="AG172" s="82"/>
      <c r="AH172" s="82"/>
      <c r="AI172" s="30"/>
      <c r="AJ172" s="38"/>
      <c r="AK172" s="82"/>
      <c r="AL172" s="82"/>
      <c r="AM172" s="82"/>
      <c r="AN172" s="82"/>
      <c r="AO172" s="82"/>
      <c r="AP172" s="82"/>
      <c r="AQ172" s="82"/>
    </row>
    <row r="173" spans="1:43" s="8" customFormat="1">
      <c r="A173" s="146"/>
      <c r="B173" s="141"/>
      <c r="C173" s="141"/>
      <c r="D173" s="141"/>
      <c r="E173" s="13" t="s">
        <v>47</v>
      </c>
      <c r="F173" s="14" t="str">
        <f>$C$1</f>
        <v>R. Abbott</v>
      </c>
      <c r="G173" s="15"/>
      <c r="H173" s="16"/>
      <c r="I173" s="13" t="s">
        <v>53</v>
      </c>
      <c r="J173" s="17" t="str">
        <f>$G$2</f>
        <v>AA-SM-000-001</v>
      </c>
      <c r="K173" s="16"/>
      <c r="L173" s="18"/>
      <c r="M173" s="10"/>
      <c r="N173" s="110"/>
      <c r="O173" s="111"/>
      <c r="P173" s="23"/>
      <c r="Q173" s="164"/>
      <c r="R173" s="111"/>
      <c r="S173" s="111"/>
      <c r="T173" s="163"/>
      <c r="U173" s="82"/>
      <c r="V173" s="82"/>
      <c r="W173" s="82"/>
      <c r="X173" s="29"/>
      <c r="Y173" s="38"/>
      <c r="Z173" s="82"/>
      <c r="AA173" s="82"/>
      <c r="AB173" s="82"/>
      <c r="AC173" s="82"/>
      <c r="AD173" s="82"/>
      <c r="AE173" s="82"/>
      <c r="AF173" s="82"/>
      <c r="AG173" s="82"/>
      <c r="AH173" s="82"/>
      <c r="AI173" s="30"/>
      <c r="AJ173" s="38"/>
      <c r="AK173" s="82"/>
      <c r="AL173" s="82"/>
      <c r="AM173" s="82"/>
      <c r="AN173" s="82"/>
      <c r="AO173" s="82"/>
      <c r="AP173" s="82"/>
      <c r="AQ173" s="82"/>
    </row>
    <row r="174" spans="1:43" s="8" customFormat="1">
      <c r="A174" s="141"/>
      <c r="B174" s="141"/>
      <c r="C174" s="141"/>
      <c r="D174" s="141"/>
      <c r="E174" s="13" t="s">
        <v>49</v>
      </c>
      <c r="F174" s="16" t="str">
        <f>$C$2</f>
        <v xml:space="preserve"> </v>
      </c>
      <c r="G174" s="15"/>
      <c r="H174" s="16"/>
      <c r="I174" s="13" t="s">
        <v>54</v>
      </c>
      <c r="J174" s="16" t="str">
        <f>$G$3</f>
        <v>C</v>
      </c>
      <c r="K174" s="16"/>
      <c r="L174" s="18"/>
      <c r="M174" s="10">
        <v>1</v>
      </c>
      <c r="N174" s="110"/>
      <c r="O174" s="111"/>
      <c r="P174" s="23"/>
      <c r="Q174" s="164"/>
      <c r="R174" s="111"/>
      <c r="S174" s="111"/>
      <c r="T174" s="163"/>
      <c r="U174" s="82"/>
      <c r="V174" s="82"/>
      <c r="W174" s="82"/>
      <c r="X174" s="29"/>
      <c r="Y174" s="38"/>
      <c r="Z174" s="82"/>
      <c r="AA174" s="82"/>
      <c r="AB174" s="82"/>
      <c r="AC174" s="82"/>
      <c r="AD174" s="82"/>
      <c r="AE174" s="82"/>
      <c r="AF174" s="82"/>
      <c r="AG174" s="82"/>
      <c r="AH174" s="82"/>
      <c r="AI174" s="30"/>
      <c r="AJ174" s="38"/>
      <c r="AK174" s="82"/>
      <c r="AL174" s="82"/>
      <c r="AM174" s="82"/>
      <c r="AN174" s="82"/>
      <c r="AO174" s="82"/>
      <c r="AP174" s="82"/>
      <c r="AQ174" s="82"/>
    </row>
    <row r="175" spans="1:43" s="8" customFormat="1">
      <c r="A175" s="141"/>
      <c r="B175" s="141"/>
      <c r="C175" s="141"/>
      <c r="D175" s="141"/>
      <c r="E175" s="13" t="s">
        <v>0</v>
      </c>
      <c r="F175" s="16" t="str">
        <f>$C$3</f>
        <v>Jul-10</v>
      </c>
      <c r="G175" s="15"/>
      <c r="H175" s="16"/>
      <c r="I175" s="13" t="s">
        <v>55</v>
      </c>
      <c r="J175" s="14" t="str">
        <f>L175&amp;" of "&amp;$G$1</f>
        <v>4 of 1</v>
      </c>
      <c r="K175" s="16"/>
      <c r="L175" s="18">
        <f>SUM($M$1:M174)</f>
        <v>4</v>
      </c>
      <c r="M175" s="10"/>
      <c r="N175" s="110"/>
      <c r="O175" s="111"/>
      <c r="P175" s="23"/>
      <c r="Q175" s="164"/>
      <c r="R175" s="111"/>
      <c r="S175" s="111"/>
      <c r="T175" s="163"/>
      <c r="U175" s="82"/>
      <c r="V175" s="82"/>
      <c r="W175" s="82"/>
      <c r="X175" s="29"/>
      <c r="Y175" s="38"/>
      <c r="Z175" s="82"/>
      <c r="AA175" s="82"/>
      <c r="AB175" s="82"/>
      <c r="AC175" s="82"/>
      <c r="AD175" s="82"/>
      <c r="AE175" s="82"/>
      <c r="AF175" s="82"/>
      <c r="AG175" s="82"/>
      <c r="AH175" s="82"/>
      <c r="AI175" s="30"/>
      <c r="AJ175" s="38"/>
      <c r="AK175" s="82"/>
      <c r="AL175" s="82"/>
      <c r="AM175" s="82"/>
      <c r="AN175" s="82"/>
      <c r="AO175" s="82"/>
      <c r="AP175" s="82"/>
      <c r="AQ175" s="82"/>
    </row>
    <row r="176" spans="1:43" s="8" customFormat="1">
      <c r="A176" s="3"/>
      <c r="B176" s="3"/>
      <c r="C176" s="3"/>
      <c r="D176" s="3"/>
      <c r="E176" s="142" t="s">
        <v>291</v>
      </c>
      <c r="F176" s="147" t="str">
        <f>$C$5</f>
        <v>STANDARD SPREADSHEET METHOD</v>
      </c>
      <c r="G176" s="15"/>
      <c r="H176" s="15"/>
      <c r="I176" s="15"/>
      <c r="J176" s="15"/>
      <c r="K176" s="15"/>
      <c r="L176" s="18"/>
      <c r="M176" s="10"/>
      <c r="N176" s="110"/>
      <c r="O176" s="111"/>
      <c r="P176" s="23"/>
      <c r="Q176" s="164"/>
      <c r="R176" s="111"/>
      <c r="S176" s="111"/>
      <c r="T176" s="163"/>
      <c r="U176" s="82"/>
      <c r="V176" s="82"/>
      <c r="W176" s="82"/>
      <c r="X176" s="29"/>
      <c r="Y176" s="38"/>
      <c r="Z176" s="82"/>
      <c r="AA176" s="82"/>
      <c r="AB176" s="82"/>
      <c r="AC176" s="82"/>
      <c r="AD176" s="82"/>
      <c r="AE176" s="82"/>
      <c r="AF176" s="82"/>
      <c r="AG176" s="82"/>
      <c r="AH176" s="82"/>
      <c r="AI176" s="30"/>
      <c r="AJ176" s="38"/>
      <c r="AK176" s="82"/>
      <c r="AL176" s="82"/>
      <c r="AM176" s="82"/>
      <c r="AN176" s="82"/>
      <c r="AO176" s="82"/>
      <c r="AP176" s="82"/>
      <c r="AQ176" s="82"/>
    </row>
    <row r="177" spans="1:43" s="8" customFormat="1" ht="15.6">
      <c r="A177" s="38"/>
      <c r="B177" s="26" t="str">
        <f>$G$4</f>
        <v>ALUMINUM MATERIAL DATA</v>
      </c>
      <c r="C177" s="38"/>
      <c r="D177" s="38"/>
      <c r="E177" s="38"/>
      <c r="F177" s="38"/>
      <c r="G177" s="38"/>
      <c r="H177" s="38"/>
      <c r="I177" s="19"/>
      <c r="J177" s="23"/>
      <c r="K177" s="23"/>
      <c r="L177" s="23"/>
      <c r="M177" s="111"/>
      <c r="N177" s="110"/>
      <c r="O177" s="111"/>
      <c r="P177" s="23"/>
      <c r="Q177" s="164"/>
      <c r="R177" s="111"/>
      <c r="S177" s="111"/>
      <c r="T177" s="163"/>
      <c r="U177" s="38"/>
      <c r="V177" s="38"/>
      <c r="W177" s="38"/>
      <c r="X177" s="29"/>
      <c r="Y177" s="38"/>
      <c r="Z177" s="38"/>
      <c r="AA177" s="38"/>
      <c r="AB177" s="38"/>
      <c r="AC177" s="38"/>
      <c r="AD177" s="38"/>
      <c r="AE177" s="38"/>
      <c r="AF177" s="38"/>
      <c r="AG177" s="82"/>
      <c r="AH177" s="82"/>
      <c r="AI177" s="30"/>
      <c r="AJ177" s="38"/>
      <c r="AK177" s="82"/>
      <c r="AL177" s="82"/>
      <c r="AM177" s="82"/>
      <c r="AN177" s="82"/>
      <c r="AO177" s="82"/>
      <c r="AP177" s="82"/>
      <c r="AQ177" s="82"/>
    </row>
    <row r="178" spans="1:43" s="8" customFormat="1">
      <c r="A178" s="25"/>
      <c r="B178" s="225" t="s">
        <v>296</v>
      </c>
      <c r="C178" s="225"/>
      <c r="L178" s="23"/>
      <c r="M178" s="111"/>
      <c r="N178" s="110"/>
      <c r="O178" s="111"/>
      <c r="P178" s="23"/>
      <c r="Q178" s="164"/>
      <c r="R178" s="111"/>
      <c r="S178" s="111"/>
      <c r="T178" s="163"/>
      <c r="U178" s="38"/>
      <c r="V178" s="38"/>
      <c r="W178" s="38"/>
      <c r="X178" s="29"/>
      <c r="Y178" s="38"/>
      <c r="Z178" s="38"/>
      <c r="AA178" s="38"/>
      <c r="AB178" s="38"/>
      <c r="AC178" s="38"/>
      <c r="AD178" s="38"/>
      <c r="AE178" s="38"/>
      <c r="AF178" s="38"/>
      <c r="AG178" s="82"/>
      <c r="AH178" s="82"/>
      <c r="AI178" s="30"/>
      <c r="AJ178" s="38"/>
      <c r="AK178" s="82"/>
      <c r="AL178" s="82"/>
      <c r="AM178" s="82"/>
      <c r="AN178" s="82"/>
      <c r="AO178" s="82"/>
      <c r="AP178" s="82"/>
      <c r="AQ178" s="82"/>
    </row>
    <row r="179" spans="1:43" s="8" customFormat="1">
      <c r="A179" s="38"/>
      <c r="B179" s="113" t="str">
        <f>C15</f>
        <v xml:space="preserve">Material Properties for </v>
      </c>
      <c r="C179" s="38"/>
      <c r="D179" s="38"/>
      <c r="E179" s="38"/>
      <c r="F179" s="38"/>
      <c r="G179" s="38"/>
      <c r="H179" s="38"/>
      <c r="I179" s="19"/>
      <c r="J179" s="23"/>
      <c r="K179" s="23"/>
      <c r="L179" s="23"/>
      <c r="M179" s="111"/>
      <c r="N179" s="110"/>
      <c r="O179" s="111"/>
      <c r="P179" s="23"/>
      <c r="Q179" s="164"/>
      <c r="R179" s="111"/>
      <c r="S179" s="111"/>
      <c r="T179" s="163"/>
      <c r="U179" s="167"/>
      <c r="V179" s="38"/>
      <c r="W179" s="38"/>
      <c r="X179" s="29"/>
      <c r="Y179" s="38"/>
      <c r="Z179" s="38"/>
      <c r="AA179" s="38"/>
      <c r="AB179" s="38"/>
      <c r="AC179" s="38"/>
      <c r="AD179" s="38"/>
      <c r="AE179" s="38"/>
      <c r="AF179" s="38"/>
      <c r="AG179" s="82"/>
      <c r="AH179" s="82"/>
      <c r="AI179" s="30"/>
      <c r="AJ179" s="38"/>
      <c r="AK179" s="82"/>
      <c r="AL179" s="82"/>
      <c r="AM179" s="82"/>
      <c r="AN179" s="82"/>
      <c r="AO179" s="82"/>
      <c r="AP179" s="82"/>
      <c r="AQ179" s="82"/>
    </row>
    <row r="180" spans="1:43" s="8" customFormat="1">
      <c r="A180" s="38"/>
      <c r="B180" s="113" t="str">
        <f>B124&amp;" (continued)"</f>
        <v>Plastic Correction for Shear Buckling (continued)</v>
      </c>
      <c r="C180" s="38"/>
      <c r="D180" s="38"/>
      <c r="E180" s="38"/>
      <c r="F180" s="38"/>
      <c r="G180" s="38"/>
      <c r="H180" s="38"/>
      <c r="I180" s="23"/>
      <c r="J180" s="23"/>
      <c r="K180" s="23"/>
      <c r="L180" s="23"/>
      <c r="M180" s="111"/>
      <c r="N180" s="110"/>
      <c r="O180" s="111"/>
      <c r="P180" s="23"/>
      <c r="Q180" s="164"/>
      <c r="R180" s="111"/>
      <c r="S180" s="111"/>
      <c r="T180" s="163"/>
      <c r="U180" s="167"/>
      <c r="V180" s="38"/>
      <c r="W180" s="38"/>
      <c r="X180" s="34"/>
      <c r="Y180" s="38"/>
      <c r="Z180" s="38"/>
      <c r="AA180" s="38"/>
      <c r="AB180" s="38"/>
      <c r="AC180" s="38"/>
      <c r="AD180" s="38"/>
      <c r="AE180" s="38"/>
      <c r="AF180" s="38"/>
      <c r="AG180" s="82"/>
      <c r="AH180" s="82"/>
      <c r="AI180" s="30"/>
      <c r="AJ180" s="38"/>
      <c r="AK180" s="82"/>
      <c r="AL180" s="82"/>
      <c r="AM180" s="82"/>
      <c r="AN180" s="82"/>
      <c r="AO180" s="82"/>
      <c r="AP180" s="82"/>
      <c r="AQ180" s="82"/>
    </row>
    <row r="181" spans="1:43" s="8" customFormat="1" ht="15">
      <c r="A181" s="38"/>
      <c r="B181" s="27" t="s">
        <v>297</v>
      </c>
      <c r="C181" s="38"/>
      <c r="D181" s="38"/>
      <c r="E181" s="38"/>
      <c r="F181" s="38"/>
      <c r="G181" s="38"/>
      <c r="H181" s="38"/>
      <c r="I181" s="19"/>
      <c r="J181" s="23"/>
      <c r="K181" s="23"/>
      <c r="L181" s="23"/>
      <c r="M181" s="111"/>
      <c r="N181" s="110"/>
      <c r="O181" s="111"/>
      <c r="P181" s="23"/>
      <c r="Q181" s="164"/>
      <c r="R181" s="111"/>
      <c r="S181" s="111"/>
      <c r="T181" s="163"/>
      <c r="U181" s="167"/>
      <c r="V181" s="38"/>
      <c r="W181" s="38"/>
      <c r="X181" s="34"/>
      <c r="Y181" s="38"/>
      <c r="Z181" s="38"/>
      <c r="AA181" s="38"/>
      <c r="AB181" s="38"/>
      <c r="AC181" s="38"/>
      <c r="AD181" s="38"/>
      <c r="AE181" s="38"/>
      <c r="AF181" s="38"/>
      <c r="AG181" s="82"/>
      <c r="AH181" s="82"/>
      <c r="AI181" s="30"/>
      <c r="AJ181" s="38"/>
      <c r="AK181" s="82"/>
      <c r="AL181" s="82"/>
      <c r="AM181" s="82"/>
      <c r="AN181" s="82"/>
      <c r="AO181" s="82"/>
      <c r="AP181" s="82"/>
      <c r="AQ181" s="82"/>
    </row>
    <row r="182" spans="1:43" s="8" customFormat="1">
      <c r="A182" s="38"/>
      <c r="B182" s="122"/>
      <c r="C182" s="118"/>
      <c r="D182" s="117"/>
      <c r="E182" s="117"/>
      <c r="F182" s="117"/>
      <c r="G182" s="122"/>
      <c r="H182" s="27"/>
      <c r="I182" s="19"/>
      <c r="J182" s="23"/>
      <c r="K182" s="23"/>
      <c r="L182" s="19"/>
      <c r="M182" s="111"/>
      <c r="N182" s="110"/>
      <c r="O182" s="111"/>
      <c r="P182" s="23"/>
      <c r="Q182" s="164"/>
      <c r="R182" s="111"/>
      <c r="S182" s="111"/>
      <c r="T182" s="163"/>
      <c r="U182" s="167"/>
      <c r="V182" s="38"/>
      <c r="W182" s="38"/>
      <c r="X182" s="34"/>
      <c r="Y182" s="38"/>
      <c r="Z182" s="38"/>
      <c r="AA182" s="38"/>
      <c r="AB182" s="38"/>
      <c r="AC182" s="38"/>
      <c r="AD182" s="38"/>
      <c r="AE182" s="38"/>
      <c r="AF182" s="38"/>
      <c r="AG182" s="82"/>
      <c r="AH182" s="82"/>
      <c r="AI182" s="30"/>
      <c r="AJ182" s="38"/>
      <c r="AK182" s="82"/>
      <c r="AL182" s="82"/>
      <c r="AM182" s="82"/>
      <c r="AN182" s="82"/>
      <c r="AO182" s="82"/>
      <c r="AP182" s="82"/>
      <c r="AQ182" s="82"/>
    </row>
    <row r="183" spans="1:43" s="8" customFormat="1">
      <c r="A183" s="38"/>
      <c r="B183" s="38"/>
      <c r="C183" s="38"/>
      <c r="D183" s="38"/>
      <c r="E183" s="38"/>
      <c r="F183" s="38"/>
      <c r="G183" s="38"/>
      <c r="H183" s="38"/>
      <c r="I183" s="23"/>
      <c r="J183" s="23"/>
      <c r="K183" s="23"/>
      <c r="L183" s="23"/>
      <c r="M183" s="111"/>
      <c r="N183" s="110"/>
      <c r="O183" s="111"/>
      <c r="Q183" s="164"/>
      <c r="R183" s="111"/>
      <c r="S183" s="111"/>
      <c r="T183" s="163"/>
      <c r="U183" s="34"/>
      <c r="V183" s="38"/>
      <c r="W183" s="38"/>
      <c r="X183" s="34"/>
      <c r="Y183" s="38"/>
      <c r="Z183" s="38"/>
      <c r="AA183" s="38"/>
      <c r="AB183" s="38"/>
      <c r="AC183" s="38"/>
      <c r="AD183" s="38"/>
      <c r="AE183" s="38"/>
      <c r="AF183" s="38"/>
      <c r="AG183" s="82"/>
      <c r="AH183" s="82"/>
      <c r="AI183" s="30"/>
      <c r="AJ183" s="38"/>
      <c r="AK183" s="82"/>
      <c r="AL183" s="82"/>
      <c r="AM183" s="82"/>
      <c r="AN183" s="82"/>
      <c r="AO183" s="82"/>
      <c r="AP183" s="82"/>
      <c r="AQ183" s="82"/>
    </row>
    <row r="184" spans="1:43" s="8" customFormat="1">
      <c r="A184" s="38"/>
      <c r="B184" s="122"/>
      <c r="C184" s="118"/>
      <c r="D184" s="117"/>
      <c r="E184" s="117"/>
      <c r="F184" s="117"/>
      <c r="G184" s="122"/>
      <c r="H184" s="27"/>
      <c r="I184" s="19"/>
      <c r="J184" s="23"/>
      <c r="K184" s="23"/>
      <c r="L184" s="19"/>
      <c r="M184" s="111"/>
      <c r="N184" s="110"/>
      <c r="O184" s="111"/>
      <c r="P184" s="23"/>
      <c r="Q184" s="164"/>
      <c r="R184" s="111"/>
      <c r="S184" s="111"/>
      <c r="T184" s="163"/>
      <c r="U184" s="34"/>
      <c r="V184" s="38"/>
      <c r="W184" s="38"/>
      <c r="X184" s="34"/>
      <c r="Y184" s="38"/>
      <c r="Z184" s="38"/>
      <c r="AA184" s="38"/>
      <c r="AB184" s="38"/>
      <c r="AC184" s="38"/>
      <c r="AD184" s="38"/>
      <c r="AE184" s="38"/>
      <c r="AF184" s="38"/>
      <c r="AG184" s="82"/>
      <c r="AH184" s="82"/>
      <c r="AI184" s="30"/>
      <c r="AJ184" s="38"/>
      <c r="AK184" s="82"/>
      <c r="AL184" s="82"/>
      <c r="AM184" s="82"/>
      <c r="AN184" s="82"/>
      <c r="AO184" s="82"/>
      <c r="AP184" s="82"/>
      <c r="AQ184" s="82"/>
    </row>
    <row r="185" spans="1:43" s="8" customFormat="1">
      <c r="A185" s="38"/>
      <c r="B185" s="122"/>
      <c r="C185" s="118"/>
      <c r="D185" s="117"/>
      <c r="E185" s="117"/>
      <c r="F185" s="117"/>
      <c r="G185" s="122"/>
      <c r="H185" s="27"/>
      <c r="I185" s="19"/>
      <c r="J185" s="23"/>
      <c r="K185" s="23"/>
      <c r="L185" s="19"/>
      <c r="M185" s="111"/>
      <c r="N185" s="110"/>
      <c r="O185" s="111"/>
      <c r="P185" s="23"/>
      <c r="Q185" s="164"/>
      <c r="R185" s="111"/>
      <c r="S185" s="111"/>
      <c r="T185" s="163"/>
      <c r="U185" s="34"/>
      <c r="V185" s="38"/>
      <c r="W185" s="38"/>
      <c r="X185" s="34"/>
      <c r="Y185" s="38"/>
      <c r="Z185" s="38"/>
      <c r="AA185" s="38"/>
      <c r="AB185" s="38"/>
      <c r="AC185" s="38"/>
      <c r="AD185" s="38"/>
      <c r="AE185" s="38"/>
      <c r="AF185" s="38"/>
      <c r="AG185" s="82"/>
      <c r="AH185" s="82"/>
      <c r="AI185" s="30"/>
      <c r="AJ185" s="38"/>
      <c r="AK185" s="82"/>
      <c r="AL185" s="82"/>
      <c r="AM185" s="82"/>
      <c r="AN185" s="82"/>
      <c r="AO185" s="82"/>
      <c r="AP185" s="82"/>
      <c r="AQ185" s="82"/>
    </row>
    <row r="186" spans="1:43" s="8" customFormat="1">
      <c r="A186" s="38"/>
      <c r="B186" s="122"/>
      <c r="C186" s="118"/>
      <c r="D186" s="117"/>
      <c r="E186" s="117"/>
      <c r="F186" s="117"/>
      <c r="G186" s="122"/>
      <c r="H186" s="27"/>
      <c r="I186" s="19"/>
      <c r="J186" s="23"/>
      <c r="K186" s="23"/>
      <c r="L186" s="19"/>
      <c r="M186" s="111"/>
      <c r="N186" s="110"/>
      <c r="O186" s="111"/>
      <c r="P186" s="23"/>
      <c r="Q186" s="164"/>
      <c r="R186" s="111"/>
      <c r="S186" s="111"/>
      <c r="T186" s="163"/>
      <c r="U186" s="34"/>
      <c r="V186" s="38"/>
      <c r="W186" s="38"/>
      <c r="X186" s="34"/>
      <c r="Y186" s="38"/>
      <c r="Z186" s="38"/>
      <c r="AA186" s="38"/>
      <c r="AB186" s="38"/>
      <c r="AC186" s="38"/>
      <c r="AD186" s="38"/>
      <c r="AE186" s="38"/>
      <c r="AF186" s="38"/>
      <c r="AG186" s="82"/>
      <c r="AH186" s="82"/>
      <c r="AI186" s="30"/>
      <c r="AJ186" s="38"/>
      <c r="AK186" s="82"/>
      <c r="AL186" s="82"/>
      <c r="AM186" s="82"/>
      <c r="AN186" s="82"/>
      <c r="AO186" s="82"/>
      <c r="AP186" s="82"/>
      <c r="AQ186" s="82"/>
    </row>
    <row r="187" spans="1:43" s="8" customFormat="1">
      <c r="A187" s="38"/>
      <c r="B187" s="122"/>
      <c r="C187" s="118"/>
      <c r="D187" s="117"/>
      <c r="E187" s="117"/>
      <c r="F187" s="117"/>
      <c r="G187" s="122"/>
      <c r="H187" s="27"/>
      <c r="I187" s="19"/>
      <c r="J187" s="23"/>
      <c r="K187" s="23"/>
      <c r="L187" s="19"/>
      <c r="M187" s="111"/>
      <c r="N187" s="110"/>
      <c r="O187" s="111"/>
      <c r="P187" s="23"/>
      <c r="Q187" s="164"/>
      <c r="R187" s="111"/>
      <c r="S187" s="111"/>
      <c r="T187" s="163"/>
      <c r="U187" s="34"/>
      <c r="V187" s="38"/>
      <c r="W187" s="38"/>
      <c r="X187" s="34"/>
      <c r="Y187" s="38"/>
      <c r="Z187" s="38"/>
      <c r="AA187" s="38"/>
      <c r="AB187" s="38"/>
      <c r="AC187" s="38"/>
      <c r="AD187" s="38"/>
      <c r="AE187" s="38"/>
      <c r="AF187" s="38"/>
      <c r="AG187" s="82"/>
      <c r="AH187" s="82"/>
      <c r="AI187" s="30"/>
      <c r="AJ187" s="38"/>
      <c r="AK187" s="82"/>
      <c r="AL187" s="82"/>
      <c r="AM187" s="82"/>
      <c r="AN187" s="82"/>
      <c r="AO187" s="82"/>
      <c r="AP187" s="82"/>
      <c r="AQ187" s="82"/>
    </row>
    <row r="188" spans="1:43">
      <c r="A188" s="38"/>
      <c r="B188" s="122"/>
      <c r="C188" s="118"/>
      <c r="D188" s="117"/>
      <c r="E188" s="117"/>
      <c r="F188" s="117"/>
      <c r="G188" s="122"/>
      <c r="H188" s="27"/>
      <c r="I188" s="19"/>
      <c r="J188" s="19"/>
      <c r="K188" s="19"/>
      <c r="L188" s="19"/>
      <c r="M188" s="111"/>
      <c r="N188" s="110"/>
      <c r="O188" s="111"/>
      <c r="P188" s="23"/>
      <c r="Q188" s="164"/>
      <c r="T188" s="62"/>
      <c r="U188" s="27"/>
      <c r="V188" s="27"/>
      <c r="W188" s="27"/>
      <c r="X188" s="27"/>
      <c r="Y188" s="27"/>
      <c r="Z188" s="27"/>
      <c r="AA188" s="27"/>
      <c r="AB188" s="27"/>
      <c r="AC188" s="27"/>
      <c r="AD188" s="27"/>
      <c r="AE188" s="27"/>
      <c r="AF188" s="27"/>
      <c r="AG188" s="30"/>
      <c r="AH188" s="30"/>
      <c r="AI188" s="30"/>
      <c r="AJ188" s="38"/>
      <c r="AK188" s="30"/>
      <c r="AL188" s="30"/>
      <c r="AM188" s="30"/>
      <c r="AN188" s="30"/>
      <c r="AO188" s="30"/>
      <c r="AP188" s="30"/>
      <c r="AQ188" s="30"/>
    </row>
    <row r="189" spans="1:43">
      <c r="A189" s="38"/>
      <c r="B189" s="122"/>
      <c r="C189" s="118"/>
      <c r="D189" s="117"/>
      <c r="E189" s="117"/>
      <c r="F189" s="117"/>
      <c r="G189" s="122"/>
      <c r="H189" s="27"/>
      <c r="I189" s="19"/>
      <c r="J189" s="19"/>
      <c r="K189" s="19"/>
      <c r="L189" s="19"/>
      <c r="M189" s="91"/>
      <c r="N189" s="110"/>
      <c r="O189" s="111"/>
      <c r="P189" s="23"/>
      <c r="Q189" s="164"/>
      <c r="T189" s="62"/>
      <c r="U189" s="27"/>
      <c r="V189" s="27"/>
      <c r="W189" s="27"/>
      <c r="X189" s="27"/>
      <c r="Y189" s="27"/>
      <c r="Z189" s="27"/>
      <c r="AA189" s="27"/>
      <c r="AB189" s="27"/>
      <c r="AC189" s="27"/>
      <c r="AD189" s="27"/>
      <c r="AE189" s="27"/>
      <c r="AF189" s="27"/>
      <c r="AG189" s="30"/>
      <c r="AH189" s="30"/>
      <c r="AI189" s="30"/>
      <c r="AJ189" s="38"/>
      <c r="AK189" s="30"/>
      <c r="AL189" s="30"/>
      <c r="AM189" s="30"/>
      <c r="AN189" s="30"/>
      <c r="AO189" s="30"/>
      <c r="AP189" s="30"/>
      <c r="AQ189" s="30"/>
    </row>
    <row r="190" spans="1:43">
      <c r="A190" s="38"/>
      <c r="B190" s="122"/>
      <c r="C190" s="118"/>
      <c r="D190" s="117"/>
      <c r="E190" s="117"/>
      <c r="F190" s="117"/>
      <c r="G190" s="122"/>
      <c r="H190" s="27"/>
      <c r="I190" s="19"/>
      <c r="J190" s="19"/>
      <c r="K190" s="19"/>
      <c r="L190" s="19"/>
      <c r="M190" s="91"/>
      <c r="N190" s="110"/>
      <c r="O190" s="111"/>
      <c r="P190" s="23"/>
      <c r="Q190" s="164"/>
      <c r="T190" s="62"/>
      <c r="U190" s="27"/>
      <c r="V190" s="27"/>
      <c r="W190" s="27"/>
      <c r="X190" s="27"/>
      <c r="Y190" s="27"/>
      <c r="Z190" s="27"/>
      <c r="AA190" s="27"/>
      <c r="AB190" s="27"/>
      <c r="AC190" s="27"/>
      <c r="AD190" s="27"/>
      <c r="AE190" s="27"/>
      <c r="AF190" s="27"/>
      <c r="AG190" s="30"/>
      <c r="AH190" s="30"/>
      <c r="AI190" s="30"/>
      <c r="AJ190" s="38"/>
      <c r="AK190" s="30"/>
      <c r="AL190" s="30"/>
      <c r="AM190" s="30"/>
      <c r="AN190" s="30"/>
      <c r="AO190" s="30"/>
      <c r="AP190" s="30"/>
      <c r="AQ190" s="30"/>
    </row>
    <row r="191" spans="1:43">
      <c r="A191" s="38"/>
      <c r="B191" s="122"/>
      <c r="C191" s="118"/>
      <c r="D191" s="117"/>
      <c r="E191" s="117"/>
      <c r="F191" s="117"/>
      <c r="G191" s="122"/>
      <c r="H191" s="27"/>
      <c r="I191" s="19"/>
      <c r="J191" s="19"/>
      <c r="K191" s="19"/>
      <c r="L191" s="19"/>
      <c r="M191" s="160"/>
      <c r="N191" s="110"/>
      <c r="O191" s="111"/>
      <c r="P191" s="23"/>
      <c r="Q191" s="164"/>
      <c r="T191" s="62"/>
      <c r="U191" s="27"/>
      <c r="V191" s="27"/>
      <c r="W191" s="27"/>
      <c r="X191" s="27"/>
      <c r="Y191" s="27"/>
      <c r="Z191" s="27"/>
      <c r="AA191" s="27"/>
      <c r="AB191" s="27"/>
      <c r="AC191" s="27"/>
      <c r="AD191" s="27"/>
      <c r="AE191" s="27"/>
      <c r="AF191" s="27"/>
      <c r="AG191" s="30"/>
      <c r="AH191" s="30"/>
      <c r="AI191" s="30"/>
      <c r="AJ191" s="38"/>
      <c r="AK191" s="30"/>
      <c r="AL191" s="30"/>
      <c r="AM191" s="30"/>
      <c r="AN191" s="30"/>
      <c r="AO191" s="30"/>
      <c r="AP191" s="30"/>
      <c r="AQ191" s="30"/>
    </row>
    <row r="192" spans="1:43">
      <c r="A192" s="38"/>
      <c r="B192" s="122"/>
      <c r="C192" s="118"/>
      <c r="D192" s="117"/>
      <c r="E192" s="117"/>
      <c r="F192" s="117"/>
      <c r="G192" s="122"/>
      <c r="H192" s="27"/>
      <c r="I192" s="19"/>
      <c r="J192" s="19"/>
      <c r="K192" s="19"/>
      <c r="L192" s="19"/>
      <c r="M192" s="160"/>
      <c r="N192" s="110"/>
      <c r="O192" s="111"/>
      <c r="P192" s="23"/>
      <c r="Q192" s="164"/>
      <c r="T192" s="62"/>
      <c r="U192" s="27"/>
      <c r="V192" s="27"/>
      <c r="W192" s="27"/>
      <c r="X192" s="27"/>
      <c r="Y192" s="27"/>
      <c r="Z192" s="27"/>
      <c r="AA192" s="27"/>
      <c r="AB192" s="27"/>
      <c r="AC192" s="27"/>
      <c r="AD192" s="27"/>
      <c r="AE192" s="27"/>
      <c r="AF192" s="27"/>
      <c r="AG192" s="30"/>
      <c r="AH192" s="30"/>
      <c r="AI192" s="30"/>
      <c r="AJ192" s="38"/>
      <c r="AK192" s="30"/>
      <c r="AL192" s="30"/>
      <c r="AM192" s="30"/>
      <c r="AN192" s="30"/>
      <c r="AO192" s="30"/>
      <c r="AP192" s="30"/>
      <c r="AQ192" s="30"/>
    </row>
    <row r="193" spans="1:43">
      <c r="A193" s="38"/>
      <c r="B193" s="122"/>
      <c r="C193" s="118"/>
      <c r="D193" s="117"/>
      <c r="E193" s="117"/>
      <c r="F193" s="117"/>
      <c r="G193" s="122"/>
      <c r="H193" s="27"/>
      <c r="I193" s="19"/>
      <c r="J193" s="19"/>
      <c r="K193" s="19"/>
      <c r="L193" s="19"/>
      <c r="M193" s="91"/>
      <c r="N193" s="110"/>
      <c r="O193" s="111"/>
      <c r="P193" s="23"/>
      <c r="Q193" s="164"/>
      <c r="T193" s="62"/>
      <c r="U193" s="30"/>
      <c r="V193" s="30"/>
      <c r="W193" s="30"/>
      <c r="X193" s="30"/>
      <c r="Y193" s="30"/>
      <c r="Z193" s="30"/>
      <c r="AA193" s="30"/>
      <c r="AB193" s="30"/>
      <c r="AC193" s="30"/>
      <c r="AD193" s="30"/>
      <c r="AE193" s="30"/>
      <c r="AF193" s="30"/>
      <c r="AG193" s="30"/>
      <c r="AH193" s="30"/>
      <c r="AI193" s="30"/>
      <c r="AJ193" s="38"/>
      <c r="AK193" s="30"/>
      <c r="AL193" s="30"/>
      <c r="AM193" s="30"/>
      <c r="AN193" s="30"/>
      <c r="AO193" s="30"/>
      <c r="AP193" s="30"/>
      <c r="AQ193" s="30"/>
    </row>
    <row r="194" spans="1:43">
      <c r="A194" s="38"/>
      <c r="B194" s="122"/>
      <c r="C194" s="118"/>
      <c r="D194" s="117"/>
      <c r="E194" s="117"/>
      <c r="F194" s="117"/>
      <c r="G194" s="122"/>
      <c r="H194" s="67"/>
      <c r="I194" s="19"/>
      <c r="J194" s="19"/>
      <c r="K194" s="19"/>
      <c r="L194" s="19"/>
      <c r="M194" s="91"/>
      <c r="N194" s="110"/>
      <c r="O194" s="111"/>
      <c r="P194" s="23"/>
      <c r="Q194" s="164"/>
      <c r="T194" s="62"/>
      <c r="U194" s="30"/>
      <c r="V194" s="30"/>
      <c r="W194" s="30"/>
      <c r="X194" s="30"/>
      <c r="Y194" s="30"/>
      <c r="Z194" s="30"/>
      <c r="AA194" s="30"/>
      <c r="AB194" s="30"/>
      <c r="AC194" s="30"/>
      <c r="AD194" s="30"/>
      <c r="AE194" s="30"/>
      <c r="AF194" s="30"/>
      <c r="AG194" s="30"/>
      <c r="AH194" s="30"/>
      <c r="AI194" s="30"/>
      <c r="AJ194" s="38"/>
      <c r="AK194" s="30"/>
      <c r="AL194" s="30"/>
      <c r="AM194" s="30"/>
      <c r="AN194" s="30"/>
      <c r="AO194" s="30"/>
      <c r="AP194" s="30"/>
      <c r="AQ194" s="30"/>
    </row>
    <row r="195" spans="1:43">
      <c r="A195" s="38"/>
      <c r="B195" s="122"/>
      <c r="C195" s="118"/>
      <c r="D195" s="117"/>
      <c r="E195" s="117"/>
      <c r="F195" s="117"/>
      <c r="G195" s="122"/>
      <c r="H195" s="29"/>
      <c r="I195" s="19"/>
      <c r="J195" s="19"/>
      <c r="K195" s="19"/>
      <c r="L195" s="19"/>
      <c r="M195" s="91"/>
      <c r="N195" s="110"/>
      <c r="O195" s="111"/>
      <c r="P195" s="23"/>
      <c r="Q195" s="164"/>
      <c r="T195" s="62"/>
      <c r="U195" s="30"/>
      <c r="V195" s="30"/>
      <c r="W195" s="30"/>
      <c r="X195" s="30"/>
      <c r="Y195" s="30"/>
      <c r="Z195" s="30"/>
      <c r="AA195" s="30"/>
      <c r="AB195" s="30"/>
      <c r="AC195" s="30"/>
      <c r="AD195" s="30"/>
      <c r="AE195" s="30"/>
      <c r="AF195" s="30"/>
      <c r="AG195" s="30"/>
      <c r="AH195" s="30"/>
      <c r="AI195" s="30"/>
      <c r="AJ195" s="38"/>
      <c r="AK195" s="30"/>
      <c r="AL195" s="30"/>
      <c r="AM195" s="30"/>
      <c r="AN195" s="30"/>
      <c r="AO195" s="30"/>
      <c r="AP195" s="30"/>
      <c r="AQ195" s="30"/>
    </row>
    <row r="196" spans="1:43">
      <c r="A196" s="38"/>
      <c r="B196" s="122"/>
      <c r="C196" s="118"/>
      <c r="D196" s="117"/>
      <c r="E196" s="117"/>
      <c r="F196" s="117"/>
      <c r="G196" s="122"/>
      <c r="H196" s="29"/>
      <c r="I196" s="19"/>
      <c r="J196" s="19"/>
      <c r="K196" s="19"/>
      <c r="L196" s="19"/>
      <c r="M196" s="91"/>
      <c r="N196" s="110"/>
      <c r="O196" s="111"/>
      <c r="P196" s="23"/>
      <c r="Q196" s="164"/>
      <c r="T196" s="62"/>
      <c r="U196" s="30"/>
      <c r="V196" s="30"/>
      <c r="W196" s="30"/>
      <c r="X196" s="30"/>
      <c r="Y196" s="30"/>
      <c r="Z196" s="30"/>
      <c r="AA196" s="30"/>
      <c r="AB196" s="30"/>
      <c r="AC196" s="30"/>
      <c r="AD196" s="30"/>
      <c r="AE196" s="30"/>
      <c r="AF196" s="30"/>
      <c r="AG196" s="30"/>
      <c r="AH196" s="30"/>
      <c r="AI196" s="30"/>
      <c r="AJ196" s="38"/>
      <c r="AK196" s="30"/>
      <c r="AL196" s="30"/>
      <c r="AM196" s="30"/>
      <c r="AN196" s="30"/>
      <c r="AO196" s="30"/>
      <c r="AP196" s="30"/>
      <c r="AQ196" s="30"/>
    </row>
    <row r="197" spans="1:43">
      <c r="A197" s="38"/>
      <c r="B197" s="122"/>
      <c r="C197" s="118"/>
      <c r="D197" s="117"/>
      <c r="E197" s="117"/>
      <c r="F197" s="117"/>
      <c r="G197" s="122"/>
      <c r="H197" s="29"/>
      <c r="I197" s="19"/>
      <c r="J197" s="19"/>
      <c r="K197" s="19"/>
      <c r="L197" s="19"/>
      <c r="M197" s="91"/>
      <c r="N197" s="110"/>
      <c r="O197" s="111"/>
      <c r="P197" s="23"/>
      <c r="Q197" s="164"/>
      <c r="T197" s="62"/>
      <c r="U197" s="30"/>
      <c r="V197" s="30"/>
      <c r="W197" s="30"/>
      <c r="X197" s="30"/>
      <c r="Y197" s="30"/>
      <c r="Z197" s="30"/>
      <c r="AA197" s="30"/>
      <c r="AB197" s="30"/>
      <c r="AC197" s="30"/>
      <c r="AD197" s="30"/>
      <c r="AE197" s="30"/>
      <c r="AF197" s="30"/>
      <c r="AG197" s="30"/>
      <c r="AH197" s="30"/>
      <c r="AI197" s="30"/>
      <c r="AJ197" s="38"/>
      <c r="AK197" s="30"/>
      <c r="AL197" s="30"/>
      <c r="AM197" s="30"/>
      <c r="AN197" s="30"/>
      <c r="AO197" s="30"/>
      <c r="AP197" s="30"/>
      <c r="AQ197" s="30"/>
    </row>
    <row r="198" spans="1:43">
      <c r="A198" s="38"/>
      <c r="B198" s="122"/>
      <c r="C198" s="118"/>
      <c r="D198" s="117"/>
      <c r="E198" s="117"/>
      <c r="F198" s="117"/>
      <c r="G198" s="122"/>
      <c r="H198" s="29"/>
      <c r="I198" s="19"/>
      <c r="J198" s="19"/>
      <c r="K198" s="19"/>
      <c r="L198" s="19"/>
      <c r="M198" s="91"/>
      <c r="N198" s="110"/>
      <c r="O198" s="111"/>
      <c r="P198" s="23"/>
      <c r="Q198" s="164"/>
      <c r="T198" s="62"/>
      <c r="U198" s="30"/>
      <c r="V198" s="30"/>
      <c r="W198" s="30"/>
      <c r="X198" s="30"/>
      <c r="Y198" s="30"/>
      <c r="Z198" s="30"/>
      <c r="AA198" s="30"/>
      <c r="AB198" s="30"/>
      <c r="AC198" s="30"/>
      <c r="AD198" s="30"/>
      <c r="AE198" s="30"/>
      <c r="AF198" s="30"/>
      <c r="AG198" s="30"/>
      <c r="AH198" s="30"/>
      <c r="AI198" s="30"/>
      <c r="AJ198" s="38"/>
      <c r="AK198" s="30"/>
      <c r="AL198" s="30"/>
      <c r="AM198" s="30"/>
      <c r="AN198" s="30"/>
      <c r="AO198" s="30"/>
      <c r="AP198" s="30"/>
      <c r="AQ198" s="30"/>
    </row>
    <row r="199" spans="1:43">
      <c r="A199" s="38"/>
      <c r="B199" s="122"/>
      <c r="C199" s="118"/>
      <c r="D199" s="117"/>
      <c r="E199" s="117"/>
      <c r="F199" s="117"/>
      <c r="G199" s="122"/>
      <c r="H199" s="29"/>
      <c r="I199" s="19"/>
      <c r="J199" s="19"/>
      <c r="K199" s="19"/>
      <c r="L199" s="19"/>
      <c r="M199" s="91"/>
      <c r="N199" s="110"/>
      <c r="O199" s="111"/>
      <c r="P199" s="23"/>
      <c r="Q199" s="164"/>
      <c r="T199" s="62"/>
      <c r="U199" s="30"/>
      <c r="V199" s="30"/>
      <c r="W199" s="30"/>
      <c r="X199" s="30"/>
      <c r="Y199" s="30"/>
      <c r="Z199" s="30"/>
      <c r="AA199" s="30"/>
      <c r="AB199" s="30"/>
      <c r="AC199" s="30"/>
      <c r="AD199" s="30"/>
      <c r="AE199" s="30"/>
      <c r="AF199" s="30"/>
      <c r="AG199" s="30"/>
      <c r="AH199" s="30"/>
      <c r="AI199" s="30"/>
      <c r="AJ199" s="38"/>
      <c r="AK199" s="30"/>
      <c r="AL199" s="30"/>
      <c r="AM199" s="30"/>
      <c r="AN199" s="30"/>
      <c r="AO199" s="30"/>
      <c r="AP199" s="30"/>
      <c r="AQ199" s="30"/>
    </row>
    <row r="200" spans="1:43">
      <c r="A200" s="38"/>
      <c r="B200" s="122"/>
      <c r="C200" s="118"/>
      <c r="D200" s="117"/>
      <c r="E200" s="117"/>
      <c r="F200" s="117"/>
      <c r="G200" s="122"/>
      <c r="H200" s="29"/>
      <c r="I200" s="19"/>
      <c r="J200" s="19"/>
      <c r="K200" s="19"/>
      <c r="L200" s="19"/>
      <c r="M200" s="91"/>
      <c r="N200" s="110"/>
      <c r="O200" s="111"/>
      <c r="P200" s="23"/>
      <c r="Q200" s="164"/>
      <c r="T200" s="62"/>
      <c r="U200" s="30"/>
      <c r="V200" s="30"/>
      <c r="W200" s="30"/>
      <c r="X200" s="30"/>
      <c r="Y200" s="30"/>
      <c r="Z200" s="30"/>
      <c r="AA200" s="30"/>
      <c r="AB200" s="30"/>
      <c r="AC200" s="30"/>
      <c r="AD200" s="30"/>
      <c r="AE200" s="30"/>
      <c r="AF200" s="30"/>
      <c r="AG200" s="30"/>
      <c r="AH200" s="30"/>
      <c r="AI200" s="30"/>
      <c r="AJ200" s="38"/>
      <c r="AK200" s="30"/>
      <c r="AL200" s="30"/>
      <c r="AM200" s="30"/>
      <c r="AN200" s="30"/>
      <c r="AO200" s="30"/>
      <c r="AP200" s="30"/>
      <c r="AQ200" s="30"/>
    </row>
    <row r="201" spans="1:43">
      <c r="A201" s="27"/>
      <c r="B201" s="67"/>
      <c r="C201" s="38"/>
      <c r="D201" s="29"/>
      <c r="E201" s="29"/>
      <c r="F201" s="29"/>
      <c r="G201" s="29"/>
      <c r="H201" s="29"/>
      <c r="I201" s="19"/>
      <c r="J201" s="19"/>
      <c r="K201" s="19"/>
      <c r="L201" s="19"/>
      <c r="M201" s="91"/>
      <c r="N201" s="110"/>
      <c r="O201" s="111"/>
      <c r="P201" s="23"/>
      <c r="Q201" s="164"/>
      <c r="T201" s="62"/>
      <c r="U201" s="30"/>
      <c r="V201" s="30"/>
      <c r="W201" s="30"/>
      <c r="X201" s="30"/>
      <c r="Y201" s="30"/>
      <c r="Z201" s="30"/>
      <c r="AA201" s="30"/>
      <c r="AB201" s="30"/>
      <c r="AC201" s="30"/>
      <c r="AD201" s="30"/>
      <c r="AE201" s="30"/>
      <c r="AF201" s="30"/>
      <c r="AG201" s="30"/>
      <c r="AH201" s="30"/>
      <c r="AI201" s="30"/>
      <c r="AJ201" s="38"/>
      <c r="AK201" s="30"/>
      <c r="AL201" s="30"/>
      <c r="AM201" s="30"/>
      <c r="AN201" s="30"/>
      <c r="AO201" s="30"/>
      <c r="AP201" s="30"/>
      <c r="AQ201" s="30"/>
    </row>
    <row r="202" spans="1:43">
      <c r="A202" s="27"/>
      <c r="B202" s="67"/>
      <c r="C202" s="123"/>
      <c r="D202" s="29"/>
      <c r="E202" s="67"/>
      <c r="F202" s="123"/>
      <c r="G202" s="29"/>
      <c r="H202" s="29"/>
      <c r="I202" s="19"/>
      <c r="J202" s="19"/>
      <c r="K202" s="19"/>
      <c r="L202" s="19"/>
      <c r="M202" s="91"/>
      <c r="N202" s="110"/>
      <c r="O202" s="111"/>
      <c r="P202" s="23"/>
      <c r="Q202" s="164"/>
      <c r="T202" s="62"/>
      <c r="U202" s="30"/>
      <c r="V202" s="30"/>
      <c r="W202" s="30"/>
      <c r="X202" s="30"/>
      <c r="Y202" s="30"/>
      <c r="Z202" s="30"/>
      <c r="AA202" s="30"/>
      <c r="AB202" s="30"/>
      <c r="AC202" s="30"/>
      <c r="AD202" s="30"/>
      <c r="AE202" s="30"/>
      <c r="AF202" s="30"/>
      <c r="AG202" s="30"/>
      <c r="AH202" s="30"/>
      <c r="AI202" s="30"/>
      <c r="AJ202" s="38"/>
      <c r="AK202" s="30"/>
      <c r="AL202" s="30"/>
      <c r="AM202" s="30"/>
      <c r="AN202" s="30"/>
      <c r="AO202" s="30"/>
      <c r="AP202" s="30"/>
      <c r="AQ202" s="30"/>
    </row>
    <row r="203" spans="1:43">
      <c r="A203" s="27"/>
      <c r="B203" s="67"/>
      <c r="C203" s="34"/>
      <c r="D203" s="29"/>
      <c r="E203" s="67"/>
      <c r="F203" s="123"/>
      <c r="G203" s="29"/>
      <c r="H203" s="29"/>
      <c r="I203" s="124"/>
      <c r="J203" s="19"/>
      <c r="K203" s="19"/>
      <c r="L203" s="19"/>
      <c r="M203" s="91"/>
      <c r="N203" s="110"/>
      <c r="O203" s="111"/>
      <c r="P203" s="23"/>
      <c r="Q203" s="164"/>
      <c r="T203" s="62"/>
      <c r="U203" s="30"/>
      <c r="V203" s="30"/>
      <c r="W203" s="30"/>
      <c r="X203" s="30"/>
      <c r="Y203" s="30"/>
      <c r="Z203" s="30"/>
      <c r="AA203" s="30"/>
      <c r="AB203" s="30"/>
      <c r="AC203" s="30"/>
      <c r="AD203" s="30"/>
      <c r="AE203" s="30"/>
      <c r="AF203" s="30"/>
      <c r="AG203" s="30"/>
      <c r="AH203" s="30"/>
      <c r="AI203" s="30"/>
      <c r="AJ203" s="38"/>
      <c r="AK203" s="30"/>
      <c r="AL203" s="30"/>
      <c r="AM203" s="30"/>
      <c r="AN203" s="30"/>
      <c r="AO203" s="30"/>
      <c r="AP203" s="30"/>
      <c r="AQ203" s="30"/>
    </row>
    <row r="204" spans="1:43">
      <c r="A204" s="27"/>
      <c r="B204" s="67"/>
      <c r="C204" s="123"/>
      <c r="D204" s="29"/>
      <c r="E204" s="67"/>
      <c r="F204" s="123"/>
      <c r="G204" s="29"/>
      <c r="H204" s="29"/>
      <c r="I204" s="19"/>
      <c r="J204" s="19"/>
      <c r="K204" s="19"/>
      <c r="L204" s="19"/>
      <c r="M204" s="91"/>
      <c r="N204" s="110"/>
      <c r="O204" s="111"/>
      <c r="P204" s="23"/>
      <c r="Q204" s="164"/>
      <c r="T204" s="62"/>
      <c r="U204" s="30"/>
      <c r="V204" s="30"/>
      <c r="W204" s="30"/>
      <c r="X204" s="30"/>
      <c r="Y204" s="30"/>
      <c r="Z204" s="30"/>
      <c r="AA204" s="30"/>
      <c r="AB204" s="30"/>
      <c r="AC204" s="30"/>
      <c r="AD204" s="30"/>
      <c r="AE204" s="30"/>
      <c r="AF204" s="30"/>
      <c r="AG204" s="30"/>
      <c r="AH204" s="30"/>
      <c r="AI204" s="30"/>
      <c r="AJ204" s="38"/>
      <c r="AK204" s="30"/>
      <c r="AL204" s="30"/>
      <c r="AM204" s="30"/>
      <c r="AN204" s="30"/>
      <c r="AO204" s="30"/>
      <c r="AP204" s="30"/>
      <c r="AQ204" s="30"/>
    </row>
    <row r="205" spans="1:43">
      <c r="A205" s="27"/>
      <c r="B205" s="67"/>
      <c r="C205" s="38"/>
      <c r="D205" s="29"/>
      <c r="E205" s="67"/>
      <c r="F205" s="123"/>
      <c r="G205" s="29"/>
      <c r="H205" s="29"/>
      <c r="I205" s="19"/>
      <c r="J205" s="19"/>
      <c r="K205" s="19"/>
      <c r="L205" s="19"/>
      <c r="M205" s="91"/>
      <c r="N205" s="110"/>
      <c r="O205" s="111"/>
      <c r="P205" s="23"/>
      <c r="Q205" s="164"/>
      <c r="T205" s="62"/>
      <c r="U205" s="30"/>
      <c r="V205" s="30"/>
      <c r="W205" s="30"/>
      <c r="X205" s="30"/>
      <c r="Y205" s="30"/>
      <c r="Z205" s="30"/>
      <c r="AA205" s="30"/>
      <c r="AB205" s="30"/>
      <c r="AC205" s="30"/>
      <c r="AD205" s="30"/>
      <c r="AE205" s="30"/>
      <c r="AF205" s="30"/>
      <c r="AG205" s="30"/>
      <c r="AH205" s="30"/>
      <c r="AI205" s="30"/>
      <c r="AJ205" s="38"/>
      <c r="AK205" s="30"/>
      <c r="AL205" s="30"/>
      <c r="AM205" s="30"/>
      <c r="AN205" s="30"/>
      <c r="AO205" s="30"/>
      <c r="AP205" s="30"/>
      <c r="AQ205" s="30"/>
    </row>
    <row r="206" spans="1:43" ht="12.75" customHeight="1">
      <c r="A206" s="27"/>
      <c r="B206" s="125"/>
      <c r="C206" s="222" t="str">
        <f>B124&amp;" - "&amp;V16</f>
        <v>Plastic Correction for Shear Buckling - 7075-T6 (QQ-A-250/12) - 0.040/0.125in</v>
      </c>
      <c r="D206" s="222"/>
      <c r="E206" s="222"/>
      <c r="F206" s="222"/>
      <c r="G206" s="222"/>
      <c r="H206" s="222"/>
      <c r="I206" s="222"/>
      <c r="J206" s="222"/>
      <c r="K206" s="19"/>
      <c r="L206" s="19"/>
      <c r="M206" s="111"/>
      <c r="N206" s="110"/>
      <c r="O206" s="111"/>
      <c r="P206" s="23"/>
      <c r="Q206" s="164"/>
      <c r="T206" s="62"/>
      <c r="U206" s="30"/>
      <c r="V206" s="30"/>
      <c r="W206" s="30"/>
      <c r="X206" s="30"/>
      <c r="Y206" s="30"/>
      <c r="Z206" s="30"/>
      <c r="AA206" s="30"/>
      <c r="AB206" s="30"/>
      <c r="AC206" s="30"/>
      <c r="AD206" s="30"/>
      <c r="AE206" s="30"/>
      <c r="AF206" s="30"/>
      <c r="AG206" s="30"/>
      <c r="AH206" s="30"/>
      <c r="AI206" s="30"/>
      <c r="AJ206" s="38"/>
      <c r="AK206" s="30"/>
      <c r="AL206" s="30"/>
      <c r="AM206" s="30"/>
      <c r="AN206" s="30"/>
      <c r="AO206" s="30"/>
      <c r="AP206" s="30"/>
      <c r="AQ206" s="30"/>
    </row>
    <row r="207" spans="1:43">
      <c r="A207" s="27"/>
      <c r="B207" s="27"/>
      <c r="C207" s="222"/>
      <c r="D207" s="222"/>
      <c r="E207" s="222"/>
      <c r="F207" s="222"/>
      <c r="G207" s="222"/>
      <c r="H207" s="222"/>
      <c r="I207" s="222"/>
      <c r="J207" s="222"/>
      <c r="K207" s="19"/>
      <c r="L207" s="19"/>
      <c r="M207" s="91"/>
      <c r="N207" s="110"/>
      <c r="O207" s="111"/>
      <c r="P207" s="23"/>
      <c r="Q207" s="164"/>
      <c r="T207" s="62"/>
      <c r="U207" s="30"/>
      <c r="V207" s="30"/>
      <c r="W207" s="30"/>
      <c r="X207" s="30"/>
      <c r="Y207" s="30"/>
      <c r="Z207" s="30"/>
      <c r="AA207" s="30"/>
      <c r="AB207" s="30"/>
      <c r="AC207" s="30"/>
      <c r="AD207" s="30"/>
      <c r="AE207" s="30"/>
      <c r="AF207" s="30"/>
      <c r="AG207" s="30"/>
      <c r="AH207" s="30"/>
      <c r="AI207" s="30"/>
      <c r="AJ207" s="38"/>
      <c r="AK207" s="30"/>
      <c r="AL207" s="30"/>
      <c r="AM207" s="30"/>
      <c r="AN207" s="30"/>
      <c r="AO207" s="30"/>
      <c r="AP207" s="30"/>
      <c r="AQ207" s="30"/>
    </row>
    <row r="208" spans="1:43">
      <c r="A208" s="27"/>
      <c r="B208" s="27"/>
      <c r="C208" s="27"/>
      <c r="D208" s="27"/>
      <c r="E208" s="27"/>
      <c r="F208" s="27"/>
      <c r="G208" s="27"/>
      <c r="H208" s="27"/>
      <c r="I208" s="19"/>
      <c r="J208" s="19"/>
      <c r="K208" s="19"/>
      <c r="L208" s="19"/>
      <c r="M208" s="91"/>
      <c r="N208" s="110"/>
      <c r="O208" s="111"/>
      <c r="P208" s="23"/>
      <c r="Q208" s="164"/>
      <c r="T208" s="62"/>
      <c r="U208" s="30"/>
      <c r="V208" s="30"/>
      <c r="W208" s="30"/>
      <c r="X208" s="30"/>
      <c r="Y208" s="30"/>
      <c r="Z208" s="30"/>
      <c r="AA208" s="30"/>
      <c r="AB208" s="30"/>
      <c r="AC208" s="30"/>
      <c r="AD208" s="30"/>
      <c r="AE208" s="30"/>
      <c r="AF208" s="30"/>
      <c r="AG208" s="30"/>
      <c r="AH208" s="30"/>
      <c r="AI208" s="30"/>
      <c r="AJ208" s="38"/>
      <c r="AK208" s="30"/>
      <c r="AL208" s="30"/>
      <c r="AM208" s="30"/>
      <c r="AN208" s="30"/>
      <c r="AO208" s="30"/>
      <c r="AP208" s="30"/>
      <c r="AQ208" s="30"/>
    </row>
    <row r="209" spans="1:43">
      <c r="A209" s="27"/>
      <c r="B209" s="27"/>
      <c r="C209" s="27"/>
      <c r="D209" s="27"/>
      <c r="E209" s="27"/>
      <c r="F209" s="27"/>
      <c r="G209" s="27"/>
      <c r="H209" s="27"/>
      <c r="I209" s="19"/>
      <c r="J209" s="19"/>
      <c r="K209" s="19"/>
      <c r="L209" s="19"/>
      <c r="M209" s="91"/>
      <c r="N209" s="110"/>
      <c r="O209" s="111"/>
      <c r="P209" s="23"/>
      <c r="Q209" s="164"/>
      <c r="T209" s="62"/>
      <c r="U209" s="30"/>
      <c r="V209" s="30"/>
      <c r="W209" s="30"/>
      <c r="X209" s="30"/>
      <c r="Y209" s="30"/>
      <c r="Z209" s="30"/>
      <c r="AA209" s="30"/>
      <c r="AB209" s="30"/>
      <c r="AC209" s="30"/>
      <c r="AD209" s="30"/>
      <c r="AE209" s="30"/>
      <c r="AF209" s="30"/>
      <c r="AG209" s="30"/>
      <c r="AH209" s="30"/>
      <c r="AI209" s="30"/>
      <c r="AJ209" s="38"/>
      <c r="AK209" s="30"/>
      <c r="AL209" s="30"/>
      <c r="AM209" s="30"/>
      <c r="AN209" s="30"/>
      <c r="AO209" s="30"/>
      <c r="AP209" s="30"/>
      <c r="AQ209" s="30"/>
    </row>
    <row r="210" spans="1:43">
      <c r="A210" s="27"/>
      <c r="B210" s="27"/>
      <c r="C210" s="27"/>
      <c r="D210" s="27"/>
      <c r="E210" s="27"/>
      <c r="F210" s="27"/>
      <c r="G210" s="27"/>
      <c r="H210" s="27"/>
      <c r="I210" s="19"/>
      <c r="J210" s="19"/>
      <c r="K210" s="19"/>
      <c r="L210" s="19"/>
      <c r="M210" s="91"/>
      <c r="N210" s="110"/>
      <c r="O210" s="111"/>
      <c r="P210" s="23"/>
      <c r="Q210" s="164"/>
      <c r="T210" s="62"/>
      <c r="U210" s="30"/>
      <c r="V210" s="30"/>
      <c r="W210" s="30"/>
      <c r="X210" s="30"/>
      <c r="Y210" s="30"/>
      <c r="Z210" s="30"/>
      <c r="AA210" s="30"/>
      <c r="AB210" s="30"/>
      <c r="AC210" s="30"/>
      <c r="AD210" s="30"/>
      <c r="AE210" s="30"/>
      <c r="AF210" s="30"/>
      <c r="AG210" s="30"/>
      <c r="AH210" s="30"/>
      <c r="AI210" s="30"/>
      <c r="AJ210" s="38"/>
      <c r="AK210" s="30"/>
      <c r="AL210" s="30"/>
      <c r="AM210" s="30"/>
      <c r="AN210" s="30"/>
      <c r="AO210" s="30"/>
      <c r="AP210" s="30"/>
      <c r="AQ210" s="30"/>
    </row>
    <row r="211" spans="1:43">
      <c r="A211" s="27"/>
      <c r="B211" s="27"/>
      <c r="C211" s="27"/>
      <c r="D211" s="27"/>
      <c r="E211" s="27"/>
      <c r="F211" s="27"/>
      <c r="G211" s="27"/>
      <c r="H211" s="27"/>
      <c r="I211" s="19"/>
      <c r="J211" s="19"/>
      <c r="K211" s="19"/>
      <c r="L211" s="19"/>
      <c r="M211" s="91"/>
      <c r="N211" s="110"/>
      <c r="O211" s="111"/>
      <c r="P211" s="23"/>
      <c r="Q211" s="164"/>
      <c r="T211" s="62"/>
      <c r="U211" s="30"/>
      <c r="V211" s="30"/>
      <c r="W211" s="30"/>
      <c r="X211" s="30"/>
      <c r="Y211" s="30"/>
      <c r="Z211" s="30"/>
      <c r="AA211" s="30"/>
      <c r="AB211" s="30"/>
      <c r="AC211" s="30"/>
      <c r="AD211" s="30"/>
      <c r="AE211" s="30"/>
      <c r="AF211" s="30"/>
      <c r="AG211" s="30"/>
      <c r="AH211" s="30"/>
      <c r="AI211" s="30"/>
      <c r="AJ211" s="38"/>
      <c r="AK211" s="30"/>
      <c r="AL211" s="30"/>
      <c r="AM211" s="30"/>
      <c r="AN211" s="30"/>
      <c r="AO211" s="30"/>
      <c r="AP211" s="30"/>
      <c r="AQ211" s="30"/>
    </row>
    <row r="212" spans="1:43">
      <c r="A212" s="27"/>
      <c r="B212" s="27"/>
      <c r="C212" s="27"/>
      <c r="D212" s="27"/>
      <c r="E212" s="27"/>
      <c r="F212" s="27"/>
      <c r="G212" s="27"/>
      <c r="H212" s="27"/>
      <c r="I212" s="19"/>
      <c r="J212" s="19"/>
      <c r="K212" s="19"/>
      <c r="L212" s="19"/>
      <c r="M212" s="91"/>
      <c r="N212" s="110"/>
      <c r="O212" s="111"/>
      <c r="P212" s="23"/>
      <c r="Q212" s="164"/>
      <c r="T212" s="62"/>
      <c r="U212" s="30"/>
      <c r="V212" s="30"/>
      <c r="W212" s="30"/>
      <c r="X212" s="30"/>
      <c r="Y212" s="30"/>
      <c r="Z212" s="30"/>
      <c r="AA212" s="30"/>
      <c r="AB212" s="30"/>
      <c r="AC212" s="30"/>
      <c r="AD212" s="30"/>
      <c r="AE212" s="30"/>
      <c r="AF212" s="30"/>
      <c r="AG212" s="30"/>
      <c r="AH212" s="30"/>
      <c r="AI212" s="30"/>
      <c r="AJ212" s="38"/>
      <c r="AK212" s="30"/>
      <c r="AL212" s="30"/>
      <c r="AM212" s="30"/>
      <c r="AN212" s="30"/>
      <c r="AO212" s="30"/>
      <c r="AP212" s="30"/>
      <c r="AQ212" s="30"/>
    </row>
    <row r="213" spans="1:43">
      <c r="A213" s="27"/>
      <c r="B213" s="27"/>
      <c r="C213" s="27"/>
      <c r="D213" s="27"/>
      <c r="E213" s="27"/>
      <c r="F213" s="27"/>
      <c r="G213" s="27"/>
      <c r="H213" s="27"/>
      <c r="I213" s="19"/>
      <c r="J213" s="19"/>
      <c r="K213" s="19"/>
      <c r="L213" s="19"/>
      <c r="M213" s="91"/>
      <c r="N213" s="110"/>
      <c r="O213" s="111"/>
      <c r="P213" s="23"/>
      <c r="Q213" s="164"/>
      <c r="T213" s="62"/>
      <c r="U213" s="30"/>
      <c r="V213" s="30"/>
      <c r="W213" s="30"/>
      <c r="X213" s="30"/>
      <c r="Y213" s="30"/>
      <c r="Z213" s="30"/>
      <c r="AA213" s="30"/>
      <c r="AB213" s="30"/>
      <c r="AC213" s="30"/>
      <c r="AD213" s="30"/>
      <c r="AE213" s="30"/>
      <c r="AF213" s="30"/>
      <c r="AG213" s="30"/>
      <c r="AH213" s="30"/>
      <c r="AI213" s="30"/>
      <c r="AJ213" s="38"/>
      <c r="AK213" s="30"/>
      <c r="AL213" s="30"/>
      <c r="AM213" s="30"/>
      <c r="AN213" s="30"/>
      <c r="AO213" s="30"/>
      <c r="AP213" s="30"/>
      <c r="AQ213" s="30"/>
    </row>
    <row r="214" spans="1:43">
      <c r="A214" s="27"/>
      <c r="B214" s="27"/>
      <c r="C214" s="27"/>
      <c r="D214" s="27"/>
      <c r="E214" s="27"/>
      <c r="F214" s="27"/>
      <c r="G214" s="27"/>
      <c r="H214" s="27"/>
      <c r="I214" s="19"/>
      <c r="J214" s="19"/>
      <c r="K214" s="19"/>
      <c r="L214" s="19"/>
      <c r="M214" s="91"/>
      <c r="N214" s="110"/>
      <c r="O214" s="111"/>
      <c r="P214" s="23"/>
      <c r="Q214" s="164"/>
      <c r="T214" s="62"/>
      <c r="U214" s="30"/>
      <c r="V214" s="30"/>
      <c r="W214" s="30"/>
      <c r="X214" s="30"/>
      <c r="Y214" s="30"/>
      <c r="Z214" s="30"/>
      <c r="AA214" s="30"/>
      <c r="AB214" s="30"/>
      <c r="AC214" s="30"/>
      <c r="AD214" s="30"/>
      <c r="AE214" s="30"/>
      <c r="AF214" s="30"/>
      <c r="AG214" s="30"/>
      <c r="AH214" s="30"/>
      <c r="AI214" s="30"/>
      <c r="AJ214" s="38"/>
      <c r="AK214" s="30"/>
      <c r="AL214" s="30"/>
      <c r="AM214" s="30"/>
      <c r="AN214" s="30"/>
      <c r="AO214" s="30"/>
      <c r="AP214" s="30"/>
      <c r="AQ214" s="30"/>
    </row>
    <row r="215" spans="1:43">
      <c r="A215" s="27"/>
      <c r="B215" s="27"/>
      <c r="C215" s="27"/>
      <c r="D215" s="27"/>
      <c r="E215" s="27"/>
      <c r="F215" s="27"/>
      <c r="G215" s="27"/>
      <c r="H215" s="27"/>
      <c r="I215" s="19"/>
      <c r="J215" s="19"/>
      <c r="K215" s="19"/>
      <c r="L215" s="19"/>
      <c r="M215" s="91"/>
      <c r="N215" s="110"/>
      <c r="O215" s="111"/>
      <c r="P215" s="23"/>
      <c r="Q215" s="164"/>
      <c r="T215" s="62"/>
      <c r="U215" s="30"/>
      <c r="V215" s="30"/>
      <c r="W215" s="30"/>
      <c r="X215" s="30"/>
      <c r="Y215" s="30"/>
      <c r="Z215" s="30"/>
      <c r="AA215" s="30"/>
      <c r="AB215" s="30"/>
      <c r="AC215" s="30"/>
      <c r="AD215" s="30"/>
      <c r="AE215" s="30"/>
      <c r="AF215" s="30"/>
      <c r="AG215" s="30"/>
      <c r="AH215" s="30"/>
      <c r="AI215" s="30"/>
      <c r="AJ215" s="38"/>
      <c r="AK215" s="30"/>
      <c r="AL215" s="30"/>
      <c r="AM215" s="30"/>
      <c r="AN215" s="30"/>
      <c r="AO215" s="30"/>
      <c r="AP215" s="30"/>
      <c r="AQ215" s="30"/>
    </row>
    <row r="216" spans="1:43">
      <c r="A216" s="27"/>
      <c r="B216" s="27"/>
      <c r="C216" s="27"/>
      <c r="D216" s="27"/>
      <c r="E216" s="27"/>
      <c r="F216" s="27"/>
      <c r="G216" s="27"/>
      <c r="H216" s="27"/>
      <c r="I216" s="19"/>
      <c r="J216" s="19"/>
      <c r="K216" s="19"/>
      <c r="L216" s="19"/>
      <c r="M216" s="91"/>
      <c r="N216" s="110"/>
      <c r="O216" s="111"/>
      <c r="P216" s="23"/>
      <c r="Q216" s="164"/>
      <c r="T216" s="62"/>
      <c r="U216" s="30"/>
      <c r="V216" s="30"/>
      <c r="W216" s="30"/>
      <c r="X216" s="30"/>
      <c r="Y216" s="30"/>
      <c r="Z216" s="30"/>
      <c r="AA216" s="30"/>
      <c r="AB216" s="30"/>
      <c r="AC216" s="30"/>
      <c r="AD216" s="30"/>
      <c r="AE216" s="30"/>
      <c r="AF216" s="30"/>
      <c r="AG216" s="30"/>
      <c r="AH216" s="30"/>
      <c r="AI216" s="30"/>
      <c r="AJ216" s="38"/>
      <c r="AK216" s="30"/>
      <c r="AL216" s="30"/>
      <c r="AM216" s="30"/>
      <c r="AN216" s="30"/>
      <c r="AO216" s="30"/>
      <c r="AP216" s="30"/>
      <c r="AQ216" s="30"/>
    </row>
    <row r="217" spans="1:43">
      <c r="A217" s="27"/>
      <c r="B217" s="27"/>
      <c r="C217" s="27"/>
      <c r="D217" s="27"/>
      <c r="E217" s="27"/>
      <c r="F217" s="27"/>
      <c r="G217" s="27"/>
      <c r="H217" s="27"/>
      <c r="I217" s="19"/>
      <c r="J217" s="19"/>
      <c r="K217" s="19"/>
      <c r="L217" s="19"/>
      <c r="M217" s="91"/>
      <c r="N217" s="110"/>
      <c r="O217" s="111"/>
      <c r="P217" s="23"/>
      <c r="Q217" s="164"/>
      <c r="T217" s="62"/>
      <c r="U217" s="30"/>
      <c r="V217" s="30"/>
      <c r="W217" s="30"/>
      <c r="X217" s="30"/>
      <c r="Y217" s="30"/>
      <c r="Z217" s="30"/>
      <c r="AA217" s="30"/>
      <c r="AB217" s="30"/>
      <c r="AC217" s="30"/>
      <c r="AD217" s="30"/>
      <c r="AE217" s="30"/>
      <c r="AF217" s="30"/>
      <c r="AG217" s="30"/>
      <c r="AH217" s="30"/>
      <c r="AI217" s="30"/>
      <c r="AJ217" s="38"/>
      <c r="AK217" s="30"/>
      <c r="AL217" s="30"/>
      <c r="AM217" s="30"/>
      <c r="AN217" s="30"/>
      <c r="AO217" s="30"/>
      <c r="AP217" s="30"/>
      <c r="AQ217" s="30"/>
    </row>
    <row r="218" spans="1:43">
      <c r="A218" s="27"/>
      <c r="B218" s="27"/>
      <c r="C218" s="27"/>
      <c r="D218" s="27"/>
      <c r="E218" s="27"/>
      <c r="F218" s="27"/>
      <c r="G218" s="27"/>
      <c r="H218" s="27"/>
      <c r="I218" s="19"/>
      <c r="J218" s="19"/>
      <c r="K218" s="19"/>
      <c r="L218" s="19"/>
      <c r="M218" s="91"/>
      <c r="N218" s="110"/>
      <c r="O218" s="111"/>
      <c r="P218" s="23"/>
      <c r="Q218" s="164"/>
      <c r="T218" s="62"/>
      <c r="U218" s="30"/>
      <c r="V218" s="30"/>
      <c r="W218" s="30"/>
      <c r="X218" s="30"/>
      <c r="Y218" s="30"/>
      <c r="Z218" s="30"/>
      <c r="AA218" s="30"/>
      <c r="AB218" s="30"/>
      <c r="AC218" s="30"/>
      <c r="AD218" s="30"/>
      <c r="AE218" s="30"/>
      <c r="AF218" s="30"/>
      <c r="AG218" s="30"/>
      <c r="AH218" s="30"/>
      <c r="AI218" s="30"/>
      <c r="AJ218" s="38"/>
      <c r="AK218" s="30"/>
      <c r="AL218" s="30"/>
      <c r="AM218" s="30"/>
      <c r="AN218" s="30"/>
      <c r="AO218" s="30"/>
      <c r="AP218" s="30"/>
      <c r="AQ218" s="30"/>
    </row>
    <row r="219" spans="1:43">
      <c r="A219" s="27"/>
      <c r="B219" s="27"/>
      <c r="C219" s="27"/>
      <c r="D219" s="27"/>
      <c r="E219" s="27"/>
      <c r="F219" s="27"/>
      <c r="G219" s="27"/>
      <c r="H219" s="27"/>
      <c r="I219" s="19"/>
      <c r="J219" s="19"/>
      <c r="K219" s="19"/>
      <c r="L219" s="19"/>
      <c r="M219" s="91"/>
      <c r="N219" s="110"/>
      <c r="O219" s="111"/>
      <c r="P219" s="23"/>
      <c r="Q219" s="164"/>
      <c r="T219" s="62"/>
      <c r="U219" s="30"/>
      <c r="V219" s="30"/>
      <c r="W219" s="30"/>
      <c r="X219" s="30"/>
      <c r="Y219" s="30"/>
      <c r="Z219" s="30"/>
      <c r="AA219" s="30"/>
      <c r="AB219" s="30"/>
      <c r="AC219" s="30"/>
      <c r="AD219" s="30"/>
      <c r="AE219" s="30"/>
      <c r="AF219" s="30"/>
      <c r="AG219" s="30"/>
      <c r="AH219" s="30"/>
      <c r="AI219" s="30"/>
      <c r="AJ219" s="38"/>
      <c r="AK219" s="30"/>
      <c r="AL219" s="30"/>
      <c r="AM219" s="30"/>
      <c r="AN219" s="30"/>
      <c r="AO219" s="30"/>
      <c r="AP219" s="30"/>
      <c r="AQ219" s="30"/>
    </row>
    <row r="220" spans="1:43">
      <c r="A220" s="27"/>
      <c r="B220" s="27"/>
      <c r="C220" s="27"/>
      <c r="D220" s="27"/>
      <c r="E220" s="27"/>
      <c r="F220" s="27"/>
      <c r="G220" s="27"/>
      <c r="H220" s="27"/>
      <c r="I220" s="19"/>
      <c r="J220" s="19"/>
      <c r="K220" s="19"/>
      <c r="L220" s="19"/>
      <c r="M220" s="91"/>
      <c r="N220" s="110"/>
      <c r="O220" s="111"/>
      <c r="P220" s="23"/>
      <c r="Q220" s="164"/>
      <c r="T220" s="62"/>
      <c r="U220" s="30"/>
      <c r="V220" s="30"/>
      <c r="W220" s="30"/>
      <c r="X220" s="30"/>
      <c r="Y220" s="30"/>
      <c r="Z220" s="30"/>
      <c r="AA220" s="30"/>
      <c r="AB220" s="30"/>
      <c r="AC220" s="30"/>
      <c r="AD220" s="30"/>
      <c r="AE220" s="30"/>
      <c r="AF220" s="30"/>
      <c r="AG220" s="30"/>
      <c r="AH220" s="30"/>
      <c r="AI220" s="30"/>
      <c r="AJ220" s="38"/>
      <c r="AK220" s="30"/>
      <c r="AL220" s="30"/>
      <c r="AM220" s="30"/>
      <c r="AN220" s="30"/>
      <c r="AO220" s="30"/>
      <c r="AP220" s="30"/>
      <c r="AQ220" s="30"/>
    </row>
    <row r="221" spans="1:43">
      <c r="A221" s="27"/>
      <c r="B221" s="27"/>
      <c r="C221" s="27"/>
      <c r="D221" s="27"/>
      <c r="E221" s="27"/>
      <c r="F221" s="27"/>
      <c r="G221" s="27"/>
      <c r="H221" s="27"/>
      <c r="I221" s="19"/>
      <c r="J221" s="19"/>
      <c r="K221" s="19"/>
      <c r="L221" s="19"/>
      <c r="M221" s="91"/>
      <c r="N221" s="110"/>
      <c r="O221" s="111"/>
      <c r="P221" s="23"/>
      <c r="Q221" s="164"/>
      <c r="T221" s="62"/>
      <c r="U221" s="30"/>
      <c r="V221" s="30"/>
      <c r="W221" s="30"/>
      <c r="X221" s="30"/>
      <c r="Y221" s="30"/>
      <c r="Z221" s="30"/>
      <c r="AA221" s="30"/>
      <c r="AB221" s="30"/>
      <c r="AC221" s="30"/>
      <c r="AD221" s="30"/>
      <c r="AE221" s="30"/>
      <c r="AF221" s="30"/>
      <c r="AG221" s="30"/>
      <c r="AH221" s="30"/>
      <c r="AI221" s="30"/>
      <c r="AJ221" s="38"/>
      <c r="AK221" s="30"/>
      <c r="AL221" s="30"/>
      <c r="AM221" s="30"/>
      <c r="AN221" s="30"/>
      <c r="AO221" s="30"/>
      <c r="AP221" s="30"/>
      <c r="AQ221" s="30"/>
    </row>
    <row r="222" spans="1:43">
      <c r="A222" s="27"/>
      <c r="B222" s="27"/>
      <c r="C222" s="27"/>
      <c r="D222" s="27"/>
      <c r="E222" s="27"/>
      <c r="F222" s="27"/>
      <c r="G222" s="27"/>
      <c r="H222" s="27"/>
      <c r="I222" s="19"/>
      <c r="J222" s="19"/>
      <c r="K222" s="19"/>
      <c r="L222" s="19"/>
      <c r="M222" s="91"/>
      <c r="N222" s="110"/>
      <c r="O222" s="111"/>
      <c r="P222" s="23"/>
      <c r="Q222" s="164"/>
      <c r="T222" s="62"/>
      <c r="U222" s="30"/>
      <c r="V222" s="30"/>
      <c r="W222" s="30"/>
      <c r="X222" s="30"/>
      <c r="Y222" s="30"/>
      <c r="Z222" s="30"/>
      <c r="AA222" s="30"/>
      <c r="AB222" s="30"/>
      <c r="AC222" s="30"/>
      <c r="AD222" s="30"/>
      <c r="AE222" s="30"/>
      <c r="AF222" s="30"/>
      <c r="AG222" s="30"/>
      <c r="AH222" s="30"/>
      <c r="AI222" s="30"/>
      <c r="AJ222" s="38"/>
      <c r="AK222" s="30"/>
      <c r="AL222" s="30"/>
      <c r="AM222" s="30"/>
      <c r="AN222" s="30"/>
      <c r="AO222" s="30"/>
      <c r="AP222" s="30"/>
      <c r="AQ222" s="30"/>
    </row>
    <row r="223" spans="1:43">
      <c r="A223" s="27"/>
      <c r="B223" s="27"/>
      <c r="C223" s="27"/>
      <c r="D223" s="27"/>
      <c r="E223" s="27"/>
      <c r="F223" s="27"/>
      <c r="G223" s="27"/>
      <c r="H223" s="27"/>
      <c r="I223" s="19"/>
      <c r="J223" s="19"/>
      <c r="K223" s="19"/>
      <c r="L223" s="19"/>
      <c r="M223" s="91"/>
      <c r="N223" s="110"/>
      <c r="O223" s="111"/>
      <c r="P223" s="23"/>
      <c r="Q223" s="164"/>
      <c r="T223" s="62"/>
      <c r="U223" s="30"/>
      <c r="V223" s="30"/>
      <c r="W223" s="30"/>
      <c r="X223" s="30"/>
      <c r="Y223" s="30"/>
      <c r="Z223" s="30"/>
      <c r="AA223" s="30"/>
      <c r="AB223" s="30"/>
      <c r="AC223" s="30"/>
      <c r="AD223" s="30"/>
      <c r="AE223" s="30"/>
      <c r="AF223" s="30"/>
      <c r="AG223" s="30"/>
      <c r="AH223" s="30"/>
      <c r="AI223" s="30"/>
      <c r="AJ223" s="38"/>
      <c r="AK223" s="30"/>
      <c r="AL223" s="30"/>
      <c r="AM223" s="30"/>
      <c r="AN223" s="30"/>
      <c r="AO223" s="30"/>
      <c r="AP223" s="30"/>
      <c r="AQ223" s="30"/>
    </row>
    <row r="224" spans="1:43">
      <c r="A224" s="27"/>
      <c r="B224" s="27"/>
      <c r="C224" s="27"/>
      <c r="D224" s="27"/>
      <c r="E224" s="27"/>
      <c r="F224" s="27"/>
      <c r="G224" s="27"/>
      <c r="H224" s="27"/>
      <c r="I224" s="19"/>
      <c r="J224" s="19"/>
      <c r="K224" s="19"/>
      <c r="L224" s="19"/>
      <c r="M224" s="91"/>
      <c r="N224" s="110"/>
      <c r="O224" s="111"/>
      <c r="P224" s="23"/>
      <c r="Q224" s="164"/>
      <c r="T224" s="62"/>
      <c r="U224" s="30"/>
      <c r="V224" s="30"/>
      <c r="W224" s="30"/>
      <c r="X224" s="30"/>
      <c r="Y224" s="30"/>
      <c r="Z224" s="30"/>
      <c r="AA224" s="30"/>
      <c r="AB224" s="30"/>
      <c r="AC224" s="30"/>
      <c r="AD224" s="30"/>
      <c r="AE224" s="30"/>
      <c r="AF224" s="30"/>
      <c r="AG224" s="30"/>
      <c r="AH224" s="30"/>
      <c r="AI224" s="30"/>
      <c r="AJ224" s="38"/>
      <c r="AK224" s="30"/>
      <c r="AL224" s="30"/>
      <c r="AM224" s="30"/>
      <c r="AN224" s="30"/>
      <c r="AO224" s="30"/>
      <c r="AP224" s="30"/>
      <c r="AQ224" s="30"/>
    </row>
    <row r="225" spans="1:43">
      <c r="A225" s="27"/>
      <c r="B225" s="27"/>
      <c r="C225" s="27"/>
      <c r="D225" s="27"/>
      <c r="E225" s="27"/>
      <c r="F225" s="27"/>
      <c r="G225" s="27"/>
      <c r="H225" s="27"/>
      <c r="I225" s="19"/>
      <c r="J225" s="19"/>
      <c r="K225" s="19"/>
      <c r="L225" s="19"/>
      <c r="M225" s="91"/>
      <c r="N225" s="110"/>
      <c r="O225" s="111"/>
      <c r="P225" s="23"/>
      <c r="Q225" s="164"/>
      <c r="T225" s="62"/>
      <c r="U225" s="30"/>
      <c r="V225" s="30"/>
      <c r="W225" s="30"/>
      <c r="X225" s="30"/>
      <c r="Y225" s="30"/>
      <c r="Z225" s="30"/>
      <c r="AA225" s="30"/>
      <c r="AB225" s="30"/>
      <c r="AC225" s="30"/>
      <c r="AD225" s="30"/>
      <c r="AE225" s="30"/>
      <c r="AF225" s="30"/>
      <c r="AG225" s="30"/>
      <c r="AH225" s="30"/>
      <c r="AI225" s="30"/>
      <c r="AJ225" s="38"/>
      <c r="AK225" s="30"/>
      <c r="AL225" s="30"/>
      <c r="AM225" s="30"/>
      <c r="AN225" s="30"/>
      <c r="AO225" s="30"/>
      <c r="AP225" s="30"/>
      <c r="AQ225" s="30"/>
    </row>
    <row r="226" spans="1:43">
      <c r="A226" s="27"/>
      <c r="B226" s="8"/>
      <c r="C226" s="80"/>
      <c r="D226" s="27"/>
      <c r="E226" s="27"/>
      <c r="F226" s="27"/>
      <c r="G226" s="80"/>
      <c r="H226" s="27"/>
      <c r="I226" s="27"/>
      <c r="J226" s="27"/>
      <c r="K226" s="27"/>
      <c r="L226" s="126"/>
      <c r="M226" s="91"/>
      <c r="N226" s="110"/>
      <c r="O226" s="111"/>
      <c r="P226" s="23"/>
      <c r="Q226" s="164"/>
      <c r="T226" s="62"/>
      <c r="U226" s="30"/>
      <c r="V226" s="30"/>
      <c r="W226" s="30"/>
      <c r="X226" s="30"/>
      <c r="Y226" s="30"/>
      <c r="Z226" s="30"/>
      <c r="AA226" s="30"/>
      <c r="AB226" s="30"/>
      <c r="AC226" s="30"/>
      <c r="AD226" s="30"/>
      <c r="AE226" s="30"/>
      <c r="AF226" s="30"/>
      <c r="AG226" s="30"/>
      <c r="AH226" s="30"/>
      <c r="AI226" s="30"/>
      <c r="AJ226" s="38"/>
      <c r="AK226" s="30"/>
      <c r="AL226" s="30"/>
      <c r="AM226" s="30"/>
      <c r="AN226" s="30"/>
      <c r="AO226" s="30"/>
      <c r="AP226" s="30"/>
      <c r="AQ226" s="30"/>
    </row>
    <row r="227" spans="1:43">
      <c r="A227" s="27"/>
      <c r="B227" s="193"/>
      <c r="C227" s="80"/>
      <c r="D227" s="28"/>
      <c r="E227" s="28"/>
      <c r="F227" s="194" t="s">
        <v>276</v>
      </c>
      <c r="G227" s="80"/>
      <c r="H227" s="28"/>
      <c r="I227" s="28"/>
      <c r="J227" s="28"/>
      <c r="K227" s="27"/>
      <c r="L227" s="19"/>
      <c r="M227" s="91"/>
      <c r="N227" s="110"/>
      <c r="O227" s="111"/>
      <c r="P227" s="23"/>
      <c r="Q227" s="164"/>
      <c r="T227" s="62"/>
      <c r="U227" s="30"/>
      <c r="V227" s="30"/>
      <c r="W227" s="30"/>
      <c r="X227" s="30"/>
      <c r="Y227" s="30"/>
      <c r="Z227" s="30"/>
      <c r="AA227" s="30"/>
      <c r="AB227" s="30"/>
      <c r="AC227" s="30"/>
      <c r="AD227" s="30"/>
      <c r="AE227" s="30"/>
      <c r="AF227" s="30"/>
      <c r="AG227" s="30"/>
      <c r="AH227" s="30"/>
      <c r="AI227" s="30"/>
      <c r="AJ227" s="38"/>
      <c r="AK227" s="30"/>
      <c r="AL227" s="30"/>
      <c r="AM227" s="30"/>
      <c r="AN227" s="30"/>
      <c r="AO227" s="30"/>
      <c r="AP227" s="30"/>
      <c r="AQ227" s="30"/>
    </row>
    <row r="228" spans="1:43">
      <c r="A228" s="27"/>
      <c r="B228" s="28"/>
      <c r="C228" s="28"/>
      <c r="D228" s="28"/>
      <c r="E228" s="28"/>
      <c r="F228" s="204" t="s">
        <v>292</v>
      </c>
      <c r="G228" s="28"/>
      <c r="H228" s="28"/>
      <c r="I228" s="28"/>
      <c r="J228" s="28"/>
      <c r="K228" s="27"/>
      <c r="L228" s="19"/>
      <c r="M228" s="160"/>
      <c r="N228" s="110"/>
      <c r="O228" s="111"/>
      <c r="P228" s="23"/>
      <c r="Q228" s="164"/>
      <c r="T228" s="62"/>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row>
    <row r="229" spans="1:43">
      <c r="A229" s="146"/>
      <c r="B229" s="141"/>
      <c r="C229" s="141"/>
      <c r="D229" s="141"/>
      <c r="E229" s="13" t="s">
        <v>47</v>
      </c>
      <c r="F229" s="14" t="str">
        <f>$C$1</f>
        <v>R. Abbott</v>
      </c>
      <c r="G229" s="15"/>
      <c r="H229" s="16"/>
      <c r="I229" s="13" t="s">
        <v>53</v>
      </c>
      <c r="J229" s="17" t="str">
        <f>$G$2</f>
        <v>AA-SM-000-001</v>
      </c>
      <c r="K229" s="16"/>
      <c r="L229" s="18"/>
      <c r="N229" s="110"/>
      <c r="O229" s="111"/>
      <c r="P229" s="23"/>
      <c r="Q229" s="164"/>
      <c r="T229" s="62"/>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row>
    <row r="230" spans="1:43">
      <c r="A230" s="141"/>
      <c r="B230" s="141"/>
      <c r="C230" s="141"/>
      <c r="D230" s="141"/>
      <c r="E230" s="13" t="s">
        <v>49</v>
      </c>
      <c r="F230" s="16" t="str">
        <f>$C$2</f>
        <v xml:space="preserve"> </v>
      </c>
      <c r="G230" s="15"/>
      <c r="H230" s="16"/>
      <c r="I230" s="13" t="s">
        <v>54</v>
      </c>
      <c r="J230" s="16" t="str">
        <f>$G$3</f>
        <v>C</v>
      </c>
      <c r="K230" s="16"/>
      <c r="L230" s="18"/>
      <c r="M230" s="10">
        <v>1</v>
      </c>
      <c r="N230" s="110"/>
      <c r="O230" s="111"/>
      <c r="P230" s="23"/>
      <c r="Q230" s="164"/>
      <c r="T230" s="62"/>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row>
    <row r="231" spans="1:43">
      <c r="A231" s="141"/>
      <c r="B231" s="141"/>
      <c r="C231" s="141"/>
      <c r="D231" s="141"/>
      <c r="E231" s="13" t="s">
        <v>0</v>
      </c>
      <c r="F231" s="16" t="str">
        <f>$C$3</f>
        <v>Jul-10</v>
      </c>
      <c r="G231" s="15"/>
      <c r="H231" s="16"/>
      <c r="I231" s="13" t="s">
        <v>55</v>
      </c>
      <c r="J231" s="14" t="str">
        <f>L231&amp;" of "&amp;$G$1</f>
        <v>5 of 1</v>
      </c>
      <c r="K231" s="16"/>
      <c r="L231" s="18">
        <f>SUM($M$1:M230)</f>
        <v>5</v>
      </c>
      <c r="N231" s="110"/>
      <c r="O231" s="111"/>
      <c r="P231" s="23"/>
      <c r="Q231" s="164"/>
      <c r="T231" s="62"/>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row>
    <row r="232" spans="1:43">
      <c r="A232" s="3"/>
      <c r="B232" s="3"/>
      <c r="C232" s="3"/>
      <c r="D232" s="3"/>
      <c r="E232" s="142" t="s">
        <v>291</v>
      </c>
      <c r="F232" s="147" t="str">
        <f>$C$5</f>
        <v>STANDARD SPREADSHEET METHOD</v>
      </c>
      <c r="G232" s="15"/>
      <c r="H232" s="15"/>
      <c r="I232" s="15"/>
      <c r="J232" s="15"/>
      <c r="K232" s="15"/>
      <c r="L232" s="18"/>
      <c r="N232" s="110"/>
      <c r="O232" s="111"/>
      <c r="P232" s="23"/>
      <c r="Q232" s="164"/>
      <c r="T232" s="62"/>
      <c r="U232" s="30"/>
      <c r="V232" s="30"/>
      <c r="W232" s="30"/>
      <c r="X232" s="30"/>
      <c r="Y232" s="127"/>
      <c r="Z232" s="30"/>
      <c r="AA232" s="30"/>
      <c r="AB232" s="30"/>
      <c r="AC232" s="30"/>
      <c r="AD232" s="30"/>
      <c r="AE232" s="30"/>
      <c r="AF232" s="30"/>
      <c r="AG232" s="30"/>
      <c r="AH232" s="30"/>
      <c r="AI232" s="30"/>
      <c r="AJ232" s="38"/>
      <c r="AK232" s="30"/>
      <c r="AL232" s="30"/>
      <c r="AM232" s="30"/>
      <c r="AN232" s="30"/>
      <c r="AO232" s="30"/>
      <c r="AP232" s="30"/>
      <c r="AQ232" s="30"/>
    </row>
    <row r="233" spans="1:43" ht="15.6">
      <c r="A233" s="27"/>
      <c r="B233" s="26" t="str">
        <f>$G$4</f>
        <v>ALUMINUM MATERIAL DATA</v>
      </c>
      <c r="C233" s="27"/>
      <c r="D233" s="31"/>
      <c r="E233" s="31"/>
      <c r="F233" s="31"/>
      <c r="G233" s="31"/>
      <c r="H233" s="31"/>
      <c r="I233" s="19"/>
      <c r="J233" s="19"/>
      <c r="K233" s="19"/>
      <c r="L233" s="19"/>
      <c r="M233" s="160"/>
      <c r="N233" s="110"/>
      <c r="O233" s="111"/>
      <c r="P233" s="23"/>
      <c r="Q233" s="164"/>
      <c r="T233" s="62"/>
      <c r="U233" s="30"/>
      <c r="V233" s="30"/>
      <c r="W233" s="30"/>
      <c r="X233" s="30"/>
      <c r="Y233" s="127"/>
      <c r="Z233" s="30"/>
      <c r="AA233" s="30"/>
      <c r="AB233" s="30"/>
      <c r="AC233" s="30"/>
      <c r="AD233" s="30"/>
      <c r="AE233" s="30"/>
      <c r="AF233" s="30"/>
      <c r="AG233" s="30"/>
      <c r="AH233" s="30"/>
      <c r="AI233" s="30"/>
      <c r="AJ233" s="38"/>
      <c r="AK233" s="30"/>
      <c r="AL233" s="30"/>
      <c r="AM233" s="30"/>
      <c r="AN233" s="30"/>
      <c r="AO233" s="30"/>
      <c r="AP233" s="30"/>
      <c r="AQ233" s="30"/>
    </row>
    <row r="234" spans="1:43">
      <c r="A234" s="25"/>
      <c r="B234" s="225" t="s">
        <v>296</v>
      </c>
      <c r="C234" s="225"/>
      <c r="L234" s="19"/>
      <c r="M234" s="160"/>
      <c r="N234" s="110"/>
      <c r="O234" s="111"/>
      <c r="P234" s="23"/>
      <c r="Q234" s="164"/>
      <c r="T234" s="62"/>
      <c r="U234" s="30"/>
      <c r="V234" s="30"/>
      <c r="W234" s="30"/>
      <c r="X234" s="30"/>
      <c r="Y234" s="30"/>
      <c r="Z234" s="30"/>
      <c r="AA234" s="30"/>
      <c r="AB234" s="30"/>
      <c r="AC234" s="30"/>
      <c r="AD234" s="30"/>
      <c r="AE234" s="30"/>
      <c r="AF234" s="30"/>
      <c r="AG234" s="30"/>
      <c r="AH234" s="30"/>
      <c r="AI234" s="30"/>
      <c r="AJ234" s="38"/>
      <c r="AK234" s="30"/>
      <c r="AL234" s="30"/>
      <c r="AM234" s="30"/>
      <c r="AN234" s="30"/>
      <c r="AO234" s="30"/>
      <c r="AP234" s="30"/>
      <c r="AQ234" s="30"/>
    </row>
    <row r="235" spans="1:43">
      <c r="A235" s="27"/>
      <c r="B235" s="113" t="str">
        <f>B123</f>
        <v xml:space="preserve">Material Properties for </v>
      </c>
      <c r="C235" s="27"/>
      <c r="D235" s="29"/>
      <c r="E235" s="29"/>
      <c r="F235" s="29"/>
      <c r="G235" s="29"/>
      <c r="H235" s="29"/>
      <c r="I235" s="19"/>
      <c r="J235" s="19"/>
      <c r="K235" s="19"/>
      <c r="L235" s="19"/>
      <c r="M235" s="91"/>
      <c r="N235" s="110"/>
      <c r="O235" s="111"/>
      <c r="P235" s="23"/>
      <c r="Q235" s="164"/>
      <c r="T235" s="62"/>
      <c r="U235" s="30"/>
      <c r="V235" s="30"/>
      <c r="W235" s="30"/>
      <c r="X235" s="30"/>
      <c r="Y235" s="30"/>
      <c r="Z235" s="30"/>
      <c r="AA235" s="30"/>
      <c r="AB235" s="30"/>
      <c r="AC235" s="30"/>
      <c r="AD235" s="30"/>
      <c r="AE235" s="30"/>
      <c r="AF235" s="30"/>
      <c r="AG235" s="30"/>
      <c r="AH235" s="30"/>
      <c r="AI235" s="30"/>
      <c r="AJ235" s="38"/>
      <c r="AK235" s="30"/>
      <c r="AL235" s="30"/>
      <c r="AM235" s="30"/>
      <c r="AN235" s="30"/>
      <c r="AO235" s="30"/>
      <c r="AP235" s="30"/>
      <c r="AQ235" s="30"/>
    </row>
    <row r="236" spans="1:43">
      <c r="A236" s="27"/>
      <c r="B236" s="28" t="str">
        <f>"Plastic Correction for Compressive Plate Buckling"</f>
        <v>Plastic Correction for Compressive Plate Buckling</v>
      </c>
      <c r="C236" s="27"/>
      <c r="D236" s="27"/>
      <c r="E236" s="27"/>
      <c r="F236" s="27"/>
      <c r="G236" s="27"/>
      <c r="H236" s="27"/>
      <c r="I236" s="19"/>
      <c r="J236" s="19"/>
      <c r="K236" s="19"/>
      <c r="L236" s="19"/>
      <c r="M236" s="91"/>
      <c r="N236" s="110"/>
      <c r="O236" s="111"/>
      <c r="P236" s="23"/>
      <c r="Q236" s="164"/>
      <c r="T236" s="62"/>
      <c r="U236" s="30"/>
      <c r="V236" s="30"/>
      <c r="W236" s="30"/>
      <c r="X236" s="30"/>
      <c r="Y236" s="30"/>
      <c r="Z236" s="30"/>
      <c r="AA236" s="30"/>
      <c r="AB236" s="30"/>
      <c r="AC236" s="30"/>
      <c r="AD236" s="30"/>
      <c r="AE236" s="30"/>
      <c r="AF236" s="30"/>
      <c r="AG236" s="30"/>
      <c r="AH236" s="30"/>
      <c r="AI236" s="30"/>
      <c r="AJ236" s="38"/>
      <c r="AK236" s="30"/>
      <c r="AL236" s="30"/>
      <c r="AM236" s="30"/>
      <c r="AN236" s="30"/>
      <c r="AO236" s="30"/>
      <c r="AP236" s="30"/>
      <c r="AQ236" s="30"/>
    </row>
    <row r="237" spans="1:43">
      <c r="A237" s="27"/>
      <c r="B237" s="215" t="s">
        <v>298</v>
      </c>
      <c r="C237" s="27"/>
      <c r="D237" s="27" t="s">
        <v>299</v>
      </c>
      <c r="E237" s="27"/>
      <c r="F237" s="27"/>
      <c r="G237" s="27"/>
      <c r="H237" s="27"/>
      <c r="I237" s="19"/>
      <c r="J237" s="19"/>
      <c r="K237" s="19"/>
      <c r="L237" s="19"/>
      <c r="M237" s="91"/>
      <c r="N237" s="110"/>
      <c r="O237" s="111"/>
      <c r="P237" s="23"/>
      <c r="Q237" s="164"/>
      <c r="T237" s="62"/>
      <c r="U237" s="30"/>
      <c r="V237" s="30"/>
      <c r="W237" s="30"/>
      <c r="X237" s="30"/>
      <c r="Y237" s="30"/>
      <c r="Z237" s="30"/>
      <c r="AA237" s="30"/>
      <c r="AB237" s="30"/>
      <c r="AC237" s="30"/>
      <c r="AD237" s="30"/>
      <c r="AE237" s="30"/>
      <c r="AF237" s="30"/>
      <c r="AG237" s="30"/>
      <c r="AH237" s="30"/>
      <c r="AI237" s="30"/>
      <c r="AJ237" s="38"/>
      <c r="AK237" s="30"/>
      <c r="AL237" s="30"/>
      <c r="AM237" s="30"/>
      <c r="AN237" s="30"/>
      <c r="AO237" s="30"/>
      <c r="AP237" s="30"/>
      <c r="AQ237" s="30"/>
    </row>
    <row r="238" spans="1:43">
      <c r="B238" s="38" t="s">
        <v>97</v>
      </c>
      <c r="C238" s="27"/>
      <c r="D238" s="38"/>
      <c r="E238" s="38"/>
      <c r="F238" s="27"/>
      <c r="G238" s="27"/>
      <c r="H238" s="27"/>
      <c r="I238" s="38" t="s">
        <v>67</v>
      </c>
      <c r="J238" s="19"/>
      <c r="K238" s="19"/>
      <c r="L238" s="19"/>
      <c r="M238" s="160"/>
      <c r="N238" s="110"/>
      <c r="O238" s="111"/>
      <c r="P238" s="23"/>
      <c r="Q238" s="164"/>
      <c r="T238" s="62"/>
      <c r="U238" s="30"/>
      <c r="V238" s="30"/>
      <c r="W238" s="30"/>
      <c r="X238" s="30"/>
      <c r="Y238" s="30"/>
      <c r="Z238" s="30"/>
      <c r="AA238" s="30"/>
      <c r="AB238" s="30"/>
      <c r="AC238" s="30"/>
      <c r="AD238" s="30"/>
      <c r="AE238" s="30"/>
      <c r="AF238" s="30"/>
      <c r="AG238" s="30"/>
      <c r="AH238" s="30"/>
      <c r="AI238" s="30"/>
      <c r="AJ238" s="38"/>
      <c r="AK238" s="30"/>
      <c r="AL238" s="30"/>
      <c r="AM238" s="30"/>
      <c r="AN238" s="30"/>
      <c r="AO238" s="30"/>
      <c r="AP238" s="30"/>
      <c r="AQ238" s="30"/>
    </row>
    <row r="239" spans="1:43">
      <c r="B239" s="38" t="s">
        <v>6</v>
      </c>
      <c r="C239" s="27"/>
      <c r="D239" s="38" t="s">
        <v>69</v>
      </c>
      <c r="E239" s="38" t="s">
        <v>103</v>
      </c>
      <c r="F239" s="38" t="s">
        <v>99</v>
      </c>
      <c r="G239" s="38" t="s">
        <v>104</v>
      </c>
      <c r="H239" s="38" t="s">
        <v>105</v>
      </c>
      <c r="I239" s="38" t="s">
        <v>6</v>
      </c>
      <c r="J239" s="19"/>
      <c r="K239" s="19"/>
      <c r="L239" s="19"/>
      <c r="M239" s="91"/>
      <c r="N239" s="110"/>
      <c r="O239" s="111"/>
      <c r="P239" s="23"/>
      <c r="Q239" s="164"/>
      <c r="T239" s="62"/>
      <c r="U239" s="30"/>
      <c r="V239" s="30"/>
      <c r="W239" s="30"/>
      <c r="X239" s="30"/>
      <c r="Y239" s="30"/>
      <c r="Z239" s="30"/>
      <c r="AA239" s="30"/>
      <c r="AB239" s="30"/>
      <c r="AC239" s="30"/>
      <c r="AD239" s="30"/>
      <c r="AE239" s="30"/>
      <c r="AF239" s="30"/>
      <c r="AG239" s="30"/>
      <c r="AH239" s="30"/>
      <c r="AI239" s="30"/>
      <c r="AJ239" s="38"/>
      <c r="AK239" s="30"/>
      <c r="AL239" s="30"/>
      <c r="AM239" s="30"/>
      <c r="AN239" s="30"/>
      <c r="AO239" s="30"/>
      <c r="AP239" s="30"/>
      <c r="AQ239" s="30"/>
    </row>
    <row r="240" spans="1:43">
      <c r="B240" s="38" t="s">
        <v>67</v>
      </c>
      <c r="C240" s="38" t="s">
        <v>66</v>
      </c>
      <c r="D240" s="38" t="s">
        <v>65</v>
      </c>
      <c r="E240" s="38" t="s">
        <v>101</v>
      </c>
      <c r="F240" s="38" t="s">
        <v>101</v>
      </c>
      <c r="G240" s="38" t="s">
        <v>106</v>
      </c>
      <c r="H240" s="38" t="s">
        <v>107</v>
      </c>
      <c r="I240" s="38" t="s">
        <v>108</v>
      </c>
      <c r="J240" s="19"/>
      <c r="K240" s="19"/>
      <c r="L240" s="19"/>
      <c r="M240" s="91"/>
      <c r="N240" s="110"/>
      <c r="O240" s="111"/>
      <c r="P240" s="23"/>
      <c r="Q240" s="164"/>
      <c r="T240" s="62"/>
      <c r="U240" s="30"/>
      <c r="V240" s="30"/>
      <c r="W240" s="30"/>
      <c r="X240" s="30"/>
      <c r="Y240" s="30"/>
      <c r="Z240" s="30"/>
      <c r="AA240" s="30"/>
      <c r="AB240" s="30"/>
      <c r="AC240" s="30"/>
      <c r="AD240" s="30"/>
      <c r="AE240" s="30"/>
      <c r="AF240" s="30"/>
      <c r="AG240" s="30"/>
      <c r="AH240" s="30"/>
      <c r="AI240" s="30"/>
      <c r="AJ240" s="38"/>
      <c r="AK240" s="30"/>
      <c r="AL240" s="30"/>
      <c r="AM240" s="30"/>
      <c r="AN240" s="30"/>
      <c r="AO240" s="30"/>
      <c r="AP240" s="30"/>
      <c r="AQ240" s="30"/>
    </row>
    <row r="241" spans="2:43">
      <c r="B241" s="38" t="s">
        <v>63</v>
      </c>
      <c r="C241" s="38"/>
      <c r="D241" s="38" t="s">
        <v>62</v>
      </c>
      <c r="E241" s="38"/>
      <c r="F241" s="38"/>
      <c r="G241" s="27"/>
      <c r="H241" s="38" t="s">
        <v>109</v>
      </c>
      <c r="I241" s="38" t="s">
        <v>63</v>
      </c>
      <c r="J241" s="19"/>
      <c r="K241" s="19"/>
      <c r="L241" s="19"/>
      <c r="M241" s="91"/>
      <c r="N241" s="110"/>
      <c r="O241" s="111"/>
      <c r="P241" s="23"/>
      <c r="Q241" s="164"/>
      <c r="T241" s="62"/>
      <c r="U241" s="30"/>
      <c r="V241" s="30"/>
      <c r="W241" s="30"/>
      <c r="X241" s="30"/>
      <c r="Y241" s="30"/>
      <c r="Z241" s="30"/>
      <c r="AA241" s="30"/>
      <c r="AB241" s="30"/>
      <c r="AC241" s="30"/>
      <c r="AD241" s="30"/>
      <c r="AE241" s="30"/>
      <c r="AF241" s="30"/>
      <c r="AG241" s="30"/>
      <c r="AH241" s="30"/>
      <c r="AI241" s="30"/>
      <c r="AJ241" s="38"/>
      <c r="AK241" s="30"/>
      <c r="AL241" s="30"/>
      <c r="AM241" s="30"/>
      <c r="AN241" s="30"/>
      <c r="AO241" s="30"/>
      <c r="AP241" s="30"/>
      <c r="AQ241" s="30"/>
    </row>
    <row r="242" spans="2:43">
      <c r="B242" s="114"/>
      <c r="C242" s="115"/>
      <c r="D242" s="115"/>
      <c r="E242" s="115"/>
      <c r="F242" s="115"/>
      <c r="G242" s="115"/>
      <c r="H242" s="115"/>
      <c r="I242" s="114"/>
      <c r="J242" s="19"/>
      <c r="K242" s="19"/>
      <c r="L242" s="19"/>
      <c r="M242" s="91"/>
      <c r="N242" s="110"/>
      <c r="O242" s="111"/>
      <c r="P242" s="23"/>
      <c r="Q242" s="164"/>
      <c r="T242" s="62"/>
      <c r="U242" s="30"/>
      <c r="V242" s="30"/>
      <c r="W242" s="30"/>
      <c r="X242" s="30"/>
      <c r="Y242" s="30"/>
      <c r="Z242" s="30"/>
      <c r="AA242" s="30"/>
      <c r="AB242" s="30"/>
      <c r="AC242" s="30"/>
      <c r="AD242" s="30"/>
      <c r="AE242" s="30"/>
      <c r="AF242" s="30"/>
      <c r="AG242" s="30"/>
      <c r="AH242" s="30"/>
      <c r="AI242" s="30"/>
      <c r="AJ242" s="38"/>
      <c r="AK242" s="30"/>
      <c r="AL242" s="30"/>
      <c r="AM242" s="30"/>
      <c r="AN242" s="30"/>
      <c r="AO242" s="30"/>
      <c r="AP242" s="30"/>
      <c r="AQ242" s="30"/>
    </row>
    <row r="243" spans="2:43">
      <c r="B243" s="38" t="s">
        <v>102</v>
      </c>
      <c r="C243" s="38"/>
      <c r="D243" s="27"/>
      <c r="E243" s="38" t="s">
        <v>102</v>
      </c>
      <c r="F243" s="38" t="s">
        <v>102</v>
      </c>
      <c r="G243" s="27"/>
      <c r="H243" s="27"/>
      <c r="I243" s="38" t="s">
        <v>102</v>
      </c>
      <c r="J243" s="19"/>
      <c r="K243" s="19"/>
      <c r="L243" s="19"/>
      <c r="M243" s="91"/>
      <c r="N243" s="110"/>
      <c r="O243" s="111"/>
      <c r="P243" s="23"/>
      <c r="Q243" s="164"/>
      <c r="T243" s="62"/>
      <c r="U243" s="30"/>
      <c r="V243" s="30"/>
      <c r="W243" s="30"/>
      <c r="X243" s="30"/>
      <c r="Y243" s="30"/>
      <c r="Z243" s="30"/>
      <c r="AA243" s="30"/>
      <c r="AB243" s="30"/>
      <c r="AC243" s="30"/>
      <c r="AD243" s="30"/>
      <c r="AE243" s="30"/>
      <c r="AF243" s="30"/>
      <c r="AG243" s="30"/>
      <c r="AH243" s="30"/>
      <c r="AI243" s="30"/>
      <c r="AJ243" s="38"/>
      <c r="AK243" s="30"/>
      <c r="AL243" s="30"/>
      <c r="AM243" s="30"/>
      <c r="AN243" s="30"/>
      <c r="AO243" s="30"/>
      <c r="AP243" s="30"/>
      <c r="AQ243" s="30"/>
    </row>
    <row r="244" spans="2:43">
      <c r="B244" s="116">
        <v>0</v>
      </c>
      <c r="C244" s="117">
        <f>IF(B244&lt;MIN($D$24:$D$26),MIN($H$34:$H$35),(LOG(($D$32)/0.002))/(LOG(MIN($D$18:$D$20)/MIN($D$24:$D$26))))</f>
        <v>12</v>
      </c>
      <c r="D244" s="118">
        <f>(B244/MIN($D$35:$D$36))+0.002*(B244/MIN($D$24:$D$26))^C244</f>
        <v>0</v>
      </c>
      <c r="E244" s="116">
        <f>F244</f>
        <v>10500000</v>
      </c>
      <c r="F244" s="116">
        <f>MIN($D$35:$D$36)</f>
        <v>10500000</v>
      </c>
      <c r="G244" s="117">
        <f>0.5-((0.5-0.33)*(F244/MIN($D$35:$D$36)))</f>
        <v>0.33</v>
      </c>
      <c r="H244" s="117">
        <f>((F244/MIN($D$35:$D$36))*(1-0.33^2)/(1-G244^2))*(0.5+0.25*(1+((3*E244)/F244))^0.5)</f>
        <v>1</v>
      </c>
      <c r="I244" s="116">
        <f t="shared" ref="I244:I269" si="14">B244/H244</f>
        <v>0</v>
      </c>
      <c r="J244" s="19"/>
      <c r="K244" s="19"/>
      <c r="L244" s="19"/>
      <c r="M244" s="91"/>
      <c r="N244" s="110"/>
      <c r="O244" s="111"/>
      <c r="P244" s="23"/>
      <c r="Q244" s="164"/>
      <c r="T244" s="62"/>
      <c r="U244" s="30"/>
      <c r="V244" s="9">
        <f>(B261-B245)/16</f>
        <v>1293.75</v>
      </c>
      <c r="W244" s="30"/>
      <c r="X244" s="30"/>
      <c r="Y244" s="30"/>
      <c r="Z244" s="30"/>
      <c r="AA244" s="30"/>
      <c r="AB244" s="30"/>
      <c r="AC244" s="30"/>
      <c r="AD244" s="30"/>
      <c r="AE244" s="30"/>
      <c r="AF244" s="30"/>
      <c r="AG244" s="30"/>
      <c r="AH244" s="30"/>
      <c r="AI244" s="30"/>
      <c r="AJ244" s="38"/>
      <c r="AK244" s="30"/>
      <c r="AL244" s="30"/>
      <c r="AM244" s="30"/>
      <c r="AN244" s="30"/>
      <c r="AO244" s="30"/>
      <c r="AP244" s="30"/>
      <c r="AQ244" s="30"/>
    </row>
    <row r="245" spans="2:43">
      <c r="B245" s="116">
        <f>MIN(D24:D26)*0.7</f>
        <v>48300</v>
      </c>
      <c r="C245" s="117">
        <f t="shared" ref="C245:C269" si="15">IF(B245&lt;MIN($D$24:$D$26),MIN($H$34:$H$35),(LOG(($D$32)/0.002))/(LOG(MIN($D$18:$D$20)/MIN($D$24:$D$26))))</f>
        <v>12</v>
      </c>
      <c r="D245" s="118">
        <f t="shared" ref="D245:D269" si="16">(B245/MIN($D$35:$D$36))+0.002*(B245/MIN($D$24:$D$26))^C245</f>
        <v>4.6276825744020001E-3</v>
      </c>
      <c r="E245" s="116">
        <f>B245/((B245/MIN($D$35:$D$36))+0.002*C245*(B245/MIN($D$24:$D$26))^(C245-1))</f>
        <v>9518069.5576641653</v>
      </c>
      <c r="F245" s="116">
        <f>B245/((B245/MIN($D$35:$D$36))+0.002*(B245/MIN($D$24:$D$26))^C245)</f>
        <v>10437189.505427873</v>
      </c>
      <c r="G245" s="117">
        <f t="shared" ref="G245:G269" si="17">0.5-((0.5-0.33)*(F245/MIN($D$35:$D$36)))</f>
        <v>0.33101693181688208</v>
      </c>
      <c r="H245" s="117">
        <f t="shared" ref="H245:H269" si="18">((F245/MIN($D$35:$D$36))*(1-0.33^2)/(1-G245^2))*(0.5+0.25*(1+((3*E245)/F245))^0.5)</f>
        <v>0.97806266235614603</v>
      </c>
      <c r="I245" s="116">
        <f t="shared" si="14"/>
        <v>49383.338981211738</v>
      </c>
      <c r="J245" s="19"/>
      <c r="K245" s="19"/>
      <c r="L245" s="19"/>
      <c r="M245" s="91"/>
      <c r="N245" s="110"/>
      <c r="O245" s="111"/>
      <c r="P245" s="23"/>
      <c r="Q245" s="164"/>
      <c r="T245" s="62"/>
      <c r="U245" s="30"/>
      <c r="W245" s="30"/>
      <c r="X245" s="30"/>
      <c r="Y245" s="30"/>
      <c r="Z245" s="30"/>
      <c r="AA245" s="30"/>
      <c r="AB245" s="30"/>
      <c r="AC245" s="30"/>
      <c r="AD245" s="30"/>
      <c r="AE245" s="30"/>
      <c r="AF245" s="30"/>
      <c r="AG245" s="30"/>
      <c r="AH245" s="30"/>
      <c r="AI245" s="30"/>
      <c r="AJ245" s="38"/>
      <c r="AK245" s="30"/>
      <c r="AL245" s="30"/>
      <c r="AM245" s="30"/>
      <c r="AN245" s="30"/>
      <c r="AO245" s="30"/>
      <c r="AP245" s="30"/>
      <c r="AQ245" s="30"/>
    </row>
    <row r="246" spans="2:43">
      <c r="B246" s="116">
        <f>B245+$V$244</f>
        <v>49593.75</v>
      </c>
      <c r="C246" s="117">
        <f t="shared" si="15"/>
        <v>12</v>
      </c>
      <c r="D246" s="118">
        <f t="shared" si="16"/>
        <v>4.7612300991837263E-3</v>
      </c>
      <c r="E246" s="116">
        <f t="shared" ref="E246:E269" si="19">B246/((B246/MIN($D$35:$D$36))+0.002*C246*(B246/MIN($D$24:$D$26))^(C246-1))</f>
        <v>9256169.1871024668</v>
      </c>
      <c r="F246" s="116">
        <f t="shared" ref="F246:F269" si="20">B246/((B246/MIN($D$35:$D$36))+0.002*(B246/MIN($D$24:$D$26))^C246)</f>
        <v>10416163.253379088</v>
      </c>
      <c r="G246" s="117">
        <f t="shared" si="17"/>
        <v>0.33135735685005285</v>
      </c>
      <c r="H246" s="117">
        <f t="shared" si="18"/>
        <v>0.97182879685882217</v>
      </c>
      <c r="I246" s="116">
        <f t="shared" si="14"/>
        <v>51031.364948536815</v>
      </c>
      <c r="J246" s="19"/>
      <c r="K246" s="19"/>
      <c r="L246" s="19"/>
      <c r="M246" s="91"/>
      <c r="N246" s="110"/>
      <c r="O246" s="111"/>
      <c r="P246" s="23"/>
      <c r="Q246" s="164"/>
      <c r="T246" s="62"/>
      <c r="U246" s="30"/>
      <c r="V246" s="9">
        <f>(B269-B261)/8</f>
        <v>1125</v>
      </c>
      <c r="W246" s="30"/>
      <c r="X246" s="30"/>
      <c r="Y246" s="30"/>
      <c r="Z246" s="30"/>
      <c r="AA246" s="30"/>
      <c r="AB246" s="30"/>
      <c r="AC246" s="30"/>
      <c r="AD246" s="30"/>
      <c r="AE246" s="30"/>
      <c r="AF246" s="30"/>
      <c r="AG246" s="30"/>
      <c r="AH246" s="30"/>
      <c r="AI246" s="30"/>
      <c r="AJ246" s="38"/>
      <c r="AK246" s="30"/>
      <c r="AL246" s="30"/>
      <c r="AM246" s="30"/>
      <c r="AN246" s="30"/>
      <c r="AO246" s="30"/>
      <c r="AP246" s="30"/>
      <c r="AQ246" s="30"/>
    </row>
    <row r="247" spans="2:43">
      <c r="B247" s="116">
        <f t="shared" ref="B247:B260" si="21">B246+$V$244</f>
        <v>50887.5</v>
      </c>
      <c r="C247" s="117">
        <f t="shared" si="15"/>
        <v>12</v>
      </c>
      <c r="D247" s="118">
        <f t="shared" si="16"/>
        <v>4.8982100314380736E-3</v>
      </c>
      <c r="E247" s="116">
        <f t="shared" si="19"/>
        <v>8944933.9665075745</v>
      </c>
      <c r="F247" s="116">
        <f t="shared" si="20"/>
        <v>10388999.179984093</v>
      </c>
      <c r="G247" s="117">
        <f t="shared" si="17"/>
        <v>0.3317971561335909</v>
      </c>
      <c r="H247" s="117">
        <f t="shared" si="18"/>
        <v>0.96421899684833512</v>
      </c>
      <c r="I247" s="116">
        <f t="shared" si="14"/>
        <v>52775.873703310004</v>
      </c>
      <c r="J247" s="19"/>
      <c r="K247" s="19"/>
      <c r="L247" s="19"/>
      <c r="M247" s="91"/>
      <c r="N247" s="110"/>
      <c r="O247" s="111"/>
      <c r="P247" s="23"/>
      <c r="Q247" s="164"/>
      <c r="T247" s="62"/>
      <c r="U247" s="30"/>
      <c r="W247" s="30"/>
      <c r="X247" s="30"/>
      <c r="Y247" s="30"/>
      <c r="Z247" s="30"/>
      <c r="AA247" s="30"/>
      <c r="AB247" s="30"/>
      <c r="AC247" s="30"/>
      <c r="AD247" s="30"/>
      <c r="AE247" s="30"/>
      <c r="AF247" s="30"/>
      <c r="AG247" s="30"/>
      <c r="AH247" s="30"/>
      <c r="AI247" s="30"/>
      <c r="AJ247" s="38"/>
      <c r="AK247" s="30"/>
      <c r="AL247" s="30"/>
      <c r="AM247" s="30"/>
      <c r="AN247" s="30"/>
      <c r="AO247" s="30"/>
      <c r="AP247" s="30"/>
      <c r="AQ247" s="30"/>
    </row>
    <row r="248" spans="2:43">
      <c r="B248" s="116">
        <f t="shared" si="21"/>
        <v>52181.25</v>
      </c>
      <c r="C248" s="117">
        <f t="shared" si="15"/>
        <v>12</v>
      </c>
      <c r="D248" s="118">
        <f t="shared" si="16"/>
        <v>5.0396294171625973E-3</v>
      </c>
      <c r="E248" s="116">
        <f t="shared" si="19"/>
        <v>8582197.6774152834</v>
      </c>
      <c r="F248" s="116">
        <f t="shared" si="20"/>
        <v>10354183.945012962</v>
      </c>
      <c r="G248" s="117">
        <f t="shared" si="17"/>
        <v>0.33236083136645678</v>
      </c>
      <c r="H248" s="117">
        <f t="shared" si="18"/>
        <v>0.95505984055563553</v>
      </c>
      <c r="I248" s="116">
        <f t="shared" si="14"/>
        <v>54636.628810234499</v>
      </c>
      <c r="J248" s="19"/>
      <c r="K248" s="19"/>
      <c r="L248" s="19"/>
      <c r="M248" s="91"/>
      <c r="N248" s="110"/>
      <c r="O248" s="111"/>
      <c r="P248" s="23"/>
      <c r="Q248" s="164"/>
      <c r="T248" s="62"/>
      <c r="U248" s="30"/>
      <c r="V248" s="30"/>
      <c r="W248" s="30"/>
      <c r="X248" s="30"/>
      <c r="Y248" s="30"/>
      <c r="Z248" s="30"/>
      <c r="AA248" s="30"/>
      <c r="AB248" s="30"/>
      <c r="AC248" s="30"/>
      <c r="AD248" s="30"/>
      <c r="AE248" s="30"/>
      <c r="AF248" s="30"/>
      <c r="AG248" s="30"/>
      <c r="AH248" s="30"/>
      <c r="AI248" s="30"/>
      <c r="AJ248" s="38"/>
      <c r="AK248" s="30"/>
      <c r="AL248" s="30"/>
      <c r="AM248" s="30"/>
      <c r="AN248" s="30"/>
      <c r="AO248" s="30"/>
      <c r="AP248" s="30"/>
      <c r="AQ248" s="30"/>
    </row>
    <row r="249" spans="2:43">
      <c r="B249" s="116">
        <f t="shared" si="21"/>
        <v>53475</v>
      </c>
      <c r="C249" s="117">
        <f t="shared" si="15"/>
        <v>12</v>
      </c>
      <c r="D249" s="118">
        <f t="shared" si="16"/>
        <v>5.186753863718167E-3</v>
      </c>
      <c r="E249" s="116">
        <f t="shared" si="19"/>
        <v>8168185.2135035815</v>
      </c>
      <c r="F249" s="116">
        <f t="shared" si="20"/>
        <v>10309916.646336868</v>
      </c>
      <c r="G249" s="117">
        <f t="shared" si="17"/>
        <v>0.33307754001168882</v>
      </c>
      <c r="H249" s="117">
        <f t="shared" si="18"/>
        <v>0.9441954515826988</v>
      </c>
      <c r="I249" s="116">
        <f t="shared" si="14"/>
        <v>56635.519595400539</v>
      </c>
      <c r="J249" s="19"/>
      <c r="K249" s="19"/>
      <c r="L249" s="19"/>
      <c r="M249" s="91"/>
      <c r="N249" s="110"/>
      <c r="O249" s="111"/>
      <c r="P249" s="23"/>
      <c r="Q249" s="164"/>
      <c r="T249" s="62"/>
      <c r="U249" s="30"/>
      <c r="V249" s="30"/>
      <c r="W249" s="30"/>
      <c r="X249" s="30"/>
      <c r="Y249" s="30"/>
      <c r="Z249" s="30"/>
      <c r="AA249" s="30"/>
      <c r="AB249" s="30"/>
      <c r="AC249" s="30"/>
      <c r="AD249" s="30"/>
      <c r="AE249" s="30"/>
      <c r="AF249" s="30"/>
      <c r="AG249" s="30"/>
      <c r="AH249" s="30"/>
      <c r="AI249" s="30"/>
      <c r="AJ249" s="38"/>
      <c r="AK249" s="30"/>
      <c r="AL249" s="30"/>
      <c r="AM249" s="30"/>
      <c r="AN249" s="30"/>
      <c r="AO249" s="30"/>
      <c r="AP249" s="30"/>
      <c r="AQ249" s="30"/>
    </row>
    <row r="250" spans="2:43">
      <c r="B250" s="116">
        <f t="shared" si="21"/>
        <v>54768.75</v>
      </c>
      <c r="C250" s="117">
        <f t="shared" si="15"/>
        <v>12</v>
      </c>
      <c r="D250" s="118">
        <f t="shared" si="16"/>
        <v>5.3411649606641106E-3</v>
      </c>
      <c r="E250" s="116">
        <f t="shared" si="19"/>
        <v>7706040.4351743767</v>
      </c>
      <c r="F250" s="116">
        <f t="shared" si="20"/>
        <v>10254083.220299968</v>
      </c>
      <c r="G250" s="117">
        <f t="shared" si="17"/>
        <v>0.33398150976657193</v>
      </c>
      <c r="H250" s="117">
        <f t="shared" si="18"/>
        <v>0.93149806705964289</v>
      </c>
      <c r="I250" s="116">
        <f t="shared" si="14"/>
        <v>58796.418303778628</v>
      </c>
      <c r="J250" s="19"/>
      <c r="K250" s="19"/>
      <c r="L250" s="19"/>
      <c r="M250" s="91"/>
      <c r="N250" s="110"/>
      <c r="O250" s="111"/>
      <c r="P250" s="23"/>
      <c r="Q250" s="164"/>
      <c r="T250" s="62"/>
      <c r="U250" s="30"/>
      <c r="V250" s="30"/>
      <c r="W250" s="30"/>
      <c r="X250" s="30"/>
      <c r="Y250" s="30"/>
      <c r="Z250" s="30"/>
      <c r="AA250" s="30"/>
      <c r="AB250" s="30"/>
      <c r="AC250" s="30"/>
      <c r="AD250" s="30"/>
      <c r="AE250" s="30"/>
      <c r="AF250" s="30"/>
      <c r="AG250" s="30"/>
      <c r="AH250" s="30"/>
      <c r="AI250" s="30"/>
      <c r="AJ250" s="38"/>
      <c r="AK250" s="30"/>
      <c r="AL250" s="30"/>
      <c r="AM250" s="30"/>
      <c r="AN250" s="30"/>
      <c r="AO250" s="30"/>
      <c r="AP250" s="30"/>
      <c r="AQ250" s="30"/>
    </row>
    <row r="251" spans="2:43">
      <c r="B251" s="116">
        <f t="shared" si="21"/>
        <v>56062.5</v>
      </c>
      <c r="C251" s="117">
        <f t="shared" si="15"/>
        <v>12</v>
      </c>
      <c r="D251" s="118">
        <f t="shared" si="16"/>
        <v>5.504828565694707E-3</v>
      </c>
      <c r="E251" s="116">
        <f t="shared" si="19"/>
        <v>7202064.5236949483</v>
      </c>
      <c r="F251" s="116">
        <f t="shared" si="20"/>
        <v>10184240.858902195</v>
      </c>
      <c r="G251" s="117">
        <f t="shared" si="17"/>
        <v>0.33511229085586924</v>
      </c>
      <c r="H251" s="117">
        <f t="shared" si="18"/>
        <v>0.91687607647835756</v>
      </c>
      <c r="I251" s="116">
        <f t="shared" si="14"/>
        <v>61145.12248517952</v>
      </c>
      <c r="J251" s="19"/>
      <c r="K251" s="19"/>
      <c r="L251" s="19"/>
      <c r="M251" s="91"/>
      <c r="N251" s="110"/>
      <c r="O251" s="111"/>
      <c r="P251" s="23"/>
      <c r="Q251" s="164"/>
      <c r="T251" s="62"/>
      <c r="U251" s="30"/>
      <c r="V251" s="30"/>
      <c r="W251" s="30"/>
      <c r="X251" s="30"/>
      <c r="Y251" s="30"/>
      <c r="Z251" s="30"/>
      <c r="AA251" s="30"/>
      <c r="AB251" s="30"/>
      <c r="AC251" s="30"/>
      <c r="AD251" s="30"/>
      <c r="AE251" s="30"/>
      <c r="AF251" s="30"/>
      <c r="AG251" s="30"/>
      <c r="AH251" s="30"/>
      <c r="AI251" s="30"/>
      <c r="AJ251" s="38"/>
      <c r="AK251" s="30"/>
      <c r="AL251" s="30"/>
      <c r="AM251" s="30"/>
      <c r="AN251" s="30"/>
      <c r="AO251" s="30"/>
      <c r="AP251" s="30"/>
      <c r="AQ251" s="30"/>
    </row>
    <row r="252" spans="2:43">
      <c r="B252" s="116">
        <f t="shared" si="21"/>
        <v>57356.25</v>
      </c>
      <c r="C252" s="117">
        <f t="shared" si="15"/>
        <v>12</v>
      </c>
      <c r="D252" s="118">
        <f t="shared" si="16"/>
        <v>5.680175672765359E-3</v>
      </c>
      <c r="E252" s="116">
        <f t="shared" si="19"/>
        <v>6665544.7056400171</v>
      </c>
      <c r="F252" s="116">
        <f t="shared" si="20"/>
        <v>10097619.035799373</v>
      </c>
      <c r="G252" s="117">
        <f t="shared" si="17"/>
        <v>0.33651473942039112</v>
      </c>
      <c r="H252" s="117">
        <f t="shared" si="18"/>
        <v>0.90027738902458909</v>
      </c>
      <c r="I252" s="116">
        <f t="shared" si="14"/>
        <v>63709.53075045345</v>
      </c>
      <c r="J252" s="19"/>
      <c r="K252" s="19"/>
      <c r="L252" s="19"/>
      <c r="M252" s="91"/>
      <c r="N252" s="110"/>
      <c r="O252" s="111"/>
      <c r="P252" s="23"/>
      <c r="Q252" s="164"/>
      <c r="T252" s="62"/>
      <c r="U252" s="30"/>
      <c r="V252" s="30"/>
      <c r="W252" s="30"/>
      <c r="X252" s="30"/>
      <c r="Y252" s="30"/>
      <c r="Z252" s="30"/>
      <c r="AA252" s="30"/>
      <c r="AB252" s="30"/>
      <c r="AC252" s="30"/>
      <c r="AD252" s="30"/>
      <c r="AE252" s="30"/>
      <c r="AF252" s="30"/>
      <c r="AG252" s="30"/>
      <c r="AH252" s="30"/>
      <c r="AI252" s="30"/>
      <c r="AJ252" s="38"/>
      <c r="AK252" s="30"/>
      <c r="AL252" s="30"/>
      <c r="AM252" s="30"/>
      <c r="AN252" s="30"/>
      <c r="AO252" s="30"/>
      <c r="AP252" s="30"/>
      <c r="AQ252" s="30"/>
    </row>
    <row r="253" spans="2:43">
      <c r="B253" s="116">
        <f t="shared" si="21"/>
        <v>58650</v>
      </c>
      <c r="C253" s="117">
        <f t="shared" si="15"/>
        <v>12</v>
      </c>
      <c r="D253" s="118">
        <f t="shared" si="16"/>
        <v>5.8701977999866296E-3</v>
      </c>
      <c r="E253" s="116">
        <f t="shared" si="19"/>
        <v>6108132.9275434176</v>
      </c>
      <c r="F253" s="116">
        <f t="shared" si="20"/>
        <v>9991145.4431967493</v>
      </c>
      <c r="G253" s="117">
        <f t="shared" si="17"/>
        <v>0.33823859758633834</v>
      </c>
      <c r="H253" s="117">
        <f t="shared" si="18"/>
        <v>0.88168677843993437</v>
      </c>
      <c r="I253" s="116">
        <f t="shared" si="14"/>
        <v>66520.221732003192</v>
      </c>
      <c r="J253" s="19"/>
      <c r="K253" s="19"/>
      <c r="L253" s="19"/>
      <c r="M253" s="91"/>
      <c r="N253" s="110"/>
      <c r="O253" s="111"/>
      <c r="P253" s="23"/>
      <c r="Q253" s="164"/>
      <c r="T253" s="62"/>
      <c r="U253" s="30"/>
      <c r="V253" s="30"/>
      <c r="W253" s="30"/>
      <c r="X253" s="30"/>
      <c r="Y253" s="30"/>
      <c r="Z253" s="30"/>
      <c r="AA253" s="30"/>
      <c r="AB253" s="30"/>
      <c r="AC253" s="30"/>
      <c r="AD253" s="30"/>
      <c r="AE253" s="30"/>
      <c r="AF253" s="30"/>
      <c r="AG253" s="30"/>
      <c r="AH253" s="30"/>
      <c r="AI253" s="30"/>
      <c r="AJ253" s="38"/>
      <c r="AK253" s="30"/>
      <c r="AL253" s="30"/>
      <c r="AM253" s="30"/>
      <c r="AN253" s="30"/>
      <c r="AO253" s="30"/>
      <c r="AP253" s="30"/>
      <c r="AQ253" s="30"/>
    </row>
    <row r="254" spans="2:43">
      <c r="B254" s="116">
        <f t="shared" si="21"/>
        <v>59943.75</v>
      </c>
      <c r="C254" s="117">
        <f t="shared" si="15"/>
        <v>12</v>
      </c>
      <c r="D254" s="118">
        <f t="shared" si="16"/>
        <v>6.078559077452304E-3</v>
      </c>
      <c r="E254" s="116">
        <f t="shared" si="19"/>
        <v>5542845.8340618433</v>
      </c>
      <c r="F254" s="116">
        <f t="shared" si="20"/>
        <v>9861506.5241948962</v>
      </c>
      <c r="G254" s="117">
        <f t="shared" si="17"/>
        <v>0.34033751341779694</v>
      </c>
      <c r="H254" s="117">
        <f t="shared" si="18"/>
        <v>0.86111737112155662</v>
      </c>
      <c r="I254" s="116">
        <f t="shared" si="14"/>
        <v>69611.590719539963</v>
      </c>
      <c r="J254" s="19"/>
      <c r="K254" s="19"/>
      <c r="L254" s="19"/>
      <c r="M254" s="91"/>
      <c r="N254" s="110"/>
      <c r="O254" s="111"/>
      <c r="P254" s="23"/>
      <c r="Q254" s="164"/>
      <c r="T254" s="62"/>
      <c r="U254" s="30"/>
      <c r="V254" s="30"/>
      <c r="W254" s="30"/>
      <c r="X254" s="30"/>
      <c r="Y254" s="30"/>
      <c r="Z254" s="30"/>
      <c r="AA254" s="30"/>
      <c r="AB254" s="30"/>
      <c r="AC254" s="30"/>
      <c r="AD254" s="30"/>
      <c r="AE254" s="30"/>
      <c r="AF254" s="30"/>
      <c r="AG254" s="30"/>
      <c r="AH254" s="30"/>
      <c r="AI254" s="30"/>
      <c r="AJ254" s="38"/>
      <c r="AK254" s="30"/>
      <c r="AL254" s="30"/>
      <c r="AM254" s="30"/>
      <c r="AN254" s="30"/>
      <c r="AO254" s="30"/>
      <c r="AP254" s="30"/>
      <c r="AQ254" s="30"/>
    </row>
    <row r="255" spans="2:43">
      <c r="B255" s="116">
        <f t="shared" si="21"/>
        <v>61237.5</v>
      </c>
      <c r="C255" s="117">
        <f t="shared" si="15"/>
        <v>12</v>
      </c>
      <c r="D255" s="118">
        <f t="shared" si="16"/>
        <v>6.3097274814752566E-3</v>
      </c>
      <c r="E255" s="116">
        <f t="shared" si="19"/>
        <v>4982861.5188466338</v>
      </c>
      <c r="F255" s="116">
        <f t="shared" si="20"/>
        <v>9705252.7513727527</v>
      </c>
      <c r="G255" s="117">
        <f t="shared" si="17"/>
        <v>0.34286733640634592</v>
      </c>
      <c r="H255" s="117">
        <f t="shared" si="18"/>
        <v>0.83859827899976191</v>
      </c>
      <c r="I255" s="116">
        <f t="shared" si="14"/>
        <v>73023.641394829741</v>
      </c>
      <c r="J255" s="19"/>
      <c r="K255" s="19"/>
      <c r="L255" s="19"/>
      <c r="M255" s="91"/>
      <c r="N255" s="110"/>
      <c r="O255" s="111"/>
      <c r="P255" s="23"/>
      <c r="Q255" s="164"/>
      <c r="T255" s="62"/>
      <c r="U255" s="30"/>
      <c r="V255" s="30"/>
      <c r="W255" s="30"/>
      <c r="X255" s="34"/>
      <c r="Y255" s="27"/>
      <c r="Z255" s="30"/>
      <c r="AA255" s="30"/>
      <c r="AB255" s="30"/>
      <c r="AC255" s="30"/>
      <c r="AD255" s="30"/>
      <c r="AE255" s="30"/>
      <c r="AF255" s="30"/>
      <c r="AG255" s="30"/>
      <c r="AH255" s="30"/>
      <c r="AI255" s="30"/>
      <c r="AJ255" s="38"/>
      <c r="AK255" s="30"/>
      <c r="AL255" s="30"/>
      <c r="AM255" s="30"/>
      <c r="AN255" s="30"/>
      <c r="AO255" s="30"/>
      <c r="AP255" s="30"/>
      <c r="AQ255" s="30"/>
    </row>
    <row r="256" spans="2:43">
      <c r="B256" s="116">
        <f t="shared" si="21"/>
        <v>62531.25</v>
      </c>
      <c r="C256" s="117">
        <f t="shared" si="15"/>
        <v>12</v>
      </c>
      <c r="D256" s="118">
        <f t="shared" si="16"/>
        <v>6.5691279534313141E-3</v>
      </c>
      <c r="E256" s="116">
        <f t="shared" si="19"/>
        <v>4440342.2756264787</v>
      </c>
      <c r="F256" s="116">
        <f t="shared" si="20"/>
        <v>9518957.5303275175</v>
      </c>
      <c r="G256" s="117">
        <f t="shared" si="17"/>
        <v>0.34588354474707828</v>
      </c>
      <c r="H256" s="117">
        <f t="shared" si="18"/>
        <v>0.81416188047847227</v>
      </c>
      <c r="I256" s="116">
        <f t="shared" si="14"/>
        <v>76804.443316912846</v>
      </c>
      <c r="J256" s="19"/>
      <c r="K256" s="19"/>
      <c r="L256" s="19"/>
      <c r="M256" s="91"/>
      <c r="N256" s="110"/>
      <c r="O256" s="111"/>
      <c r="P256" s="23"/>
      <c r="Q256" s="164"/>
      <c r="T256" s="62"/>
      <c r="U256" s="30"/>
      <c r="V256" s="30"/>
      <c r="W256" s="30"/>
      <c r="X256" s="27"/>
      <c r="Y256" s="27"/>
      <c r="Z256" s="30"/>
      <c r="AA256" s="30"/>
      <c r="AB256" s="30"/>
      <c r="AC256" s="30"/>
      <c r="AD256" s="30"/>
      <c r="AE256" s="30"/>
      <c r="AF256" s="30"/>
      <c r="AG256" s="30"/>
      <c r="AH256" s="30"/>
      <c r="AI256" s="30"/>
      <c r="AJ256" s="38"/>
      <c r="AK256" s="30"/>
      <c r="AL256" s="30"/>
      <c r="AM256" s="30"/>
      <c r="AN256" s="30"/>
      <c r="AO256" s="30"/>
      <c r="AP256" s="30"/>
      <c r="AQ256" s="30"/>
    </row>
    <row r="257" spans="1:43">
      <c r="B257" s="116">
        <f t="shared" si="21"/>
        <v>63825</v>
      </c>
      <c r="C257" s="117">
        <f t="shared" si="15"/>
        <v>12</v>
      </c>
      <c r="D257" s="118">
        <f t="shared" si="16"/>
        <v>6.8633204603345101E-3</v>
      </c>
      <c r="E257" s="116">
        <f t="shared" si="19"/>
        <v>3925494.1739152311</v>
      </c>
      <c r="F257" s="116">
        <f t="shared" si="20"/>
        <v>9299434.6350089051</v>
      </c>
      <c r="G257" s="117">
        <f t="shared" si="17"/>
        <v>0.34943772495699865</v>
      </c>
      <c r="H257" s="117">
        <f t="shared" si="18"/>
        <v>0.78783481036052638</v>
      </c>
      <c r="I257" s="116">
        <f t="shared" si="14"/>
        <v>81013.175808762011</v>
      </c>
      <c r="J257" s="19"/>
      <c r="K257" s="19"/>
      <c r="L257" s="19"/>
      <c r="M257" s="91"/>
      <c r="N257" s="110"/>
      <c r="O257" s="111"/>
      <c r="P257" s="23"/>
      <c r="Q257" s="164"/>
      <c r="T257" s="62"/>
      <c r="U257" s="30"/>
      <c r="V257" s="30"/>
      <c r="W257" s="30"/>
      <c r="X257" s="29"/>
      <c r="Y257" s="27"/>
      <c r="Z257" s="30"/>
      <c r="AA257" s="30"/>
      <c r="AB257" s="30"/>
      <c r="AC257" s="30"/>
      <c r="AD257" s="30"/>
      <c r="AE257" s="30"/>
      <c r="AF257" s="30"/>
      <c r="AG257" s="30"/>
      <c r="AH257" s="30"/>
      <c r="AI257" s="30"/>
      <c r="AJ257" s="27"/>
      <c r="AK257" s="30"/>
      <c r="AL257" s="30"/>
      <c r="AM257" s="30"/>
      <c r="AN257" s="30"/>
      <c r="AO257" s="30"/>
      <c r="AP257" s="30"/>
      <c r="AQ257" s="30"/>
    </row>
    <row r="258" spans="1:43">
      <c r="B258" s="116">
        <f t="shared" si="21"/>
        <v>65118.75</v>
      </c>
      <c r="C258" s="117">
        <f t="shared" si="15"/>
        <v>12</v>
      </c>
      <c r="D258" s="118">
        <f t="shared" si="16"/>
        <v>7.2002064022466975E-3</v>
      </c>
      <c r="E258" s="116">
        <f t="shared" si="19"/>
        <v>3445995.1267702933</v>
      </c>
      <c r="F258" s="116">
        <f t="shared" si="20"/>
        <v>9044011.5688462537</v>
      </c>
      <c r="G258" s="117">
        <f t="shared" si="17"/>
        <v>0.35357314602820356</v>
      </c>
      <c r="H258" s="117">
        <f t="shared" si="18"/>
        <v>0.75963605893314601</v>
      </c>
      <c r="I258" s="116">
        <f t="shared" si="14"/>
        <v>85723.616242565666</v>
      </c>
      <c r="J258" s="19"/>
      <c r="K258" s="19"/>
      <c r="L258" s="19"/>
      <c r="M258" s="91"/>
      <c r="N258" s="110"/>
      <c r="O258" s="111"/>
      <c r="P258" s="23"/>
      <c r="Q258" s="164"/>
      <c r="T258" s="62"/>
      <c r="U258" s="30"/>
      <c r="V258" s="30"/>
      <c r="W258" s="30"/>
      <c r="X258" s="29"/>
      <c r="Y258" s="27"/>
      <c r="Z258" s="30"/>
      <c r="AA258" s="30"/>
      <c r="AB258" s="30"/>
      <c r="AC258" s="30"/>
      <c r="AD258" s="30"/>
      <c r="AE258" s="30"/>
      <c r="AF258" s="30"/>
      <c r="AG258" s="30"/>
      <c r="AH258" s="30"/>
      <c r="AI258" s="30"/>
      <c r="AJ258" s="27"/>
      <c r="AK258" s="30"/>
      <c r="AL258" s="30"/>
      <c r="AM258" s="30"/>
      <c r="AN258" s="30"/>
      <c r="AO258" s="30"/>
      <c r="AP258" s="30"/>
      <c r="AQ258" s="30"/>
    </row>
    <row r="259" spans="1:43">
      <c r="B259" s="116">
        <f t="shared" si="21"/>
        <v>66412.5</v>
      </c>
      <c r="C259" s="117">
        <f t="shared" si="15"/>
        <v>12</v>
      </c>
      <c r="D259" s="118">
        <f t="shared" si="16"/>
        <v>7.5892671506026417E-3</v>
      </c>
      <c r="E259" s="116">
        <f t="shared" si="19"/>
        <v>3006819.5213066633</v>
      </c>
      <c r="F259" s="116">
        <f t="shared" si="20"/>
        <v>8750844.9343131073</v>
      </c>
      <c r="G259" s="117">
        <f t="shared" si="17"/>
        <v>0.35831965344445449</v>
      </c>
      <c r="H259" s="117">
        <f t="shared" si="18"/>
        <v>0.72958387375179434</v>
      </c>
      <c r="I259" s="116">
        <f t="shared" si="14"/>
        <v>91027.91658275282</v>
      </c>
      <c r="J259" s="19"/>
      <c r="K259" s="19"/>
      <c r="L259" s="19"/>
      <c r="M259" s="91"/>
      <c r="N259" s="110"/>
      <c r="O259" s="111"/>
      <c r="P259" s="23"/>
      <c r="Q259" s="164"/>
      <c r="T259" s="62"/>
      <c r="U259" s="30"/>
      <c r="V259" s="30"/>
      <c r="W259" s="30"/>
      <c r="X259" s="29"/>
      <c r="Y259" s="38"/>
      <c r="Z259" s="30"/>
      <c r="AA259" s="30"/>
      <c r="AB259" s="30"/>
      <c r="AC259" s="30"/>
      <c r="AD259" s="30"/>
      <c r="AE259" s="30"/>
      <c r="AF259" s="30"/>
      <c r="AG259" s="30"/>
      <c r="AH259" s="30"/>
      <c r="AI259" s="30"/>
      <c r="AJ259" s="27"/>
      <c r="AK259" s="30"/>
      <c r="AL259" s="30"/>
      <c r="AM259" s="30"/>
      <c r="AN259" s="30"/>
      <c r="AO259" s="30"/>
      <c r="AP259" s="30"/>
      <c r="AQ259" s="30"/>
    </row>
    <row r="260" spans="1:43">
      <c r="B260" s="116">
        <f t="shared" si="21"/>
        <v>67706.25</v>
      </c>
      <c r="C260" s="117">
        <f t="shared" si="15"/>
        <v>12</v>
      </c>
      <c r="D260" s="118">
        <f t="shared" si="16"/>
        <v>8.0418389135352725E-3</v>
      </c>
      <c r="E260" s="116">
        <f t="shared" si="19"/>
        <v>2610398.9920837339</v>
      </c>
      <c r="F260" s="116">
        <f t="shared" si="20"/>
        <v>8419249.7173803318</v>
      </c>
      <c r="G260" s="117">
        <f t="shared" si="17"/>
        <v>0.36368833790908039</v>
      </c>
      <c r="H260" s="117">
        <f t="shared" si="18"/>
        <v>0.69771090981671458</v>
      </c>
      <c r="I260" s="116">
        <f t="shared" si="14"/>
        <v>97040.549384251586</v>
      </c>
      <c r="J260" s="19"/>
      <c r="K260" s="19"/>
      <c r="L260" s="19"/>
      <c r="M260" s="91"/>
      <c r="N260" s="110"/>
      <c r="O260" s="111"/>
      <c r="P260" s="23"/>
      <c r="Q260" s="164"/>
      <c r="T260" s="62"/>
      <c r="U260" s="30"/>
      <c r="V260" s="30"/>
      <c r="W260" s="30"/>
      <c r="X260" s="29"/>
      <c r="Y260" s="38"/>
      <c r="Z260" s="30"/>
      <c r="AA260" s="30"/>
      <c r="AB260" s="30"/>
      <c r="AC260" s="30"/>
      <c r="AD260" s="30"/>
      <c r="AE260" s="30"/>
      <c r="AF260" s="30"/>
      <c r="AG260" s="30"/>
      <c r="AH260" s="30"/>
      <c r="AI260" s="30"/>
      <c r="AJ260" s="27"/>
      <c r="AK260" s="30"/>
      <c r="AL260" s="30"/>
      <c r="AM260" s="30"/>
      <c r="AN260" s="30"/>
      <c r="AO260" s="30"/>
      <c r="AP260" s="30"/>
      <c r="AQ260" s="30"/>
    </row>
    <row r="261" spans="1:43">
      <c r="B261" s="116">
        <f>MIN(D24:D26)</f>
        <v>69000</v>
      </c>
      <c r="C261" s="117">
        <f t="shared" si="15"/>
        <v>30.088169548174029</v>
      </c>
      <c r="D261" s="118">
        <f t="shared" si="16"/>
        <v>8.5714285714285719E-3</v>
      </c>
      <c r="E261" s="116">
        <f t="shared" si="19"/>
        <v>1033742.4368022823</v>
      </c>
      <c r="F261" s="116">
        <f t="shared" si="20"/>
        <v>8050000</v>
      </c>
      <c r="G261" s="117">
        <f t="shared" si="17"/>
        <v>0.3696666666666667</v>
      </c>
      <c r="H261" s="117">
        <f t="shared" si="18"/>
        <v>0.6284927123618802</v>
      </c>
      <c r="I261" s="116">
        <f t="shared" si="14"/>
        <v>109786.47586970021</v>
      </c>
      <c r="J261" s="19"/>
      <c r="K261" s="19"/>
      <c r="L261" s="19"/>
      <c r="M261" s="91"/>
      <c r="N261" s="110"/>
      <c r="O261" s="111"/>
      <c r="P261" s="23"/>
      <c r="Q261" s="164"/>
      <c r="T261" s="62"/>
      <c r="U261" s="30"/>
      <c r="V261" s="30"/>
      <c r="W261" s="30"/>
      <c r="X261" s="29"/>
      <c r="Y261" s="38"/>
      <c r="Z261" s="30"/>
      <c r="AA261" s="30"/>
      <c r="AB261" s="30"/>
      <c r="AC261" s="30"/>
      <c r="AD261" s="30"/>
      <c r="AE261" s="30"/>
      <c r="AF261" s="30"/>
      <c r="AG261" s="30"/>
      <c r="AH261" s="30"/>
      <c r="AI261" s="30"/>
      <c r="AJ261" s="27"/>
      <c r="AK261" s="30"/>
      <c r="AL261" s="30"/>
      <c r="AM261" s="30"/>
      <c r="AN261" s="30"/>
      <c r="AO261" s="30"/>
      <c r="AP261" s="30"/>
      <c r="AQ261" s="30"/>
    </row>
    <row r="262" spans="1:43">
      <c r="B262" s="116">
        <f>B261+$V$246</f>
        <v>70125</v>
      </c>
      <c r="C262" s="117">
        <f t="shared" si="15"/>
        <v>30.088169548174029</v>
      </c>
      <c r="D262" s="118">
        <f t="shared" si="16"/>
        <v>9.9321611342281044E-3</v>
      </c>
      <c r="E262" s="116">
        <f t="shared" si="19"/>
        <v>680807.86433237663</v>
      </c>
      <c r="F262" s="116">
        <f t="shared" si="20"/>
        <v>7060396.9319764655</v>
      </c>
      <c r="G262" s="117">
        <f t="shared" si="17"/>
        <v>0.38568881157752388</v>
      </c>
      <c r="H262" s="117">
        <f t="shared" si="18"/>
        <v>0.55176478139487706</v>
      </c>
      <c r="I262" s="116">
        <f t="shared" si="14"/>
        <v>127092.20009062921</v>
      </c>
      <c r="J262" s="19"/>
      <c r="K262" s="19"/>
      <c r="L262" s="19"/>
      <c r="M262" s="91"/>
      <c r="N262" s="110"/>
      <c r="O262" s="111"/>
      <c r="P262" s="23"/>
      <c r="Q262" s="164"/>
      <c r="T262" s="62"/>
      <c r="U262" s="30"/>
      <c r="V262" s="30"/>
      <c r="W262" s="30"/>
      <c r="X262" s="29"/>
      <c r="Y262" s="38"/>
      <c r="Z262" s="30"/>
      <c r="AA262" s="30"/>
      <c r="AB262" s="30"/>
      <c r="AC262" s="30"/>
      <c r="AD262" s="30"/>
      <c r="AE262" s="30"/>
      <c r="AF262" s="30"/>
      <c r="AG262" s="30"/>
      <c r="AH262" s="30"/>
      <c r="AI262" s="30"/>
      <c r="AJ262" s="27"/>
      <c r="AK262" s="30"/>
      <c r="AL262" s="30"/>
      <c r="AM262" s="30"/>
      <c r="AN262" s="30"/>
      <c r="AO262" s="30"/>
      <c r="AP262" s="30"/>
      <c r="AQ262" s="30"/>
    </row>
    <row r="263" spans="1:43">
      <c r="B263" s="116">
        <f t="shared" ref="B263:B268" si="22">B262+$V$246</f>
        <v>71250</v>
      </c>
      <c r="C263" s="117">
        <f t="shared" si="15"/>
        <v>30.088169548174029</v>
      </c>
      <c r="D263" s="118">
        <f t="shared" si="16"/>
        <v>1.2037802902723041E-2</v>
      </c>
      <c r="E263" s="116">
        <f t="shared" si="19"/>
        <v>445810.80285809195</v>
      </c>
      <c r="F263" s="116">
        <f t="shared" si="20"/>
        <v>5918854.1776076695</v>
      </c>
      <c r="G263" s="117">
        <f t="shared" si="17"/>
        <v>0.40417093236254248</v>
      </c>
      <c r="H263" s="117">
        <f t="shared" si="18"/>
        <v>0.46638731046266191</v>
      </c>
      <c r="I263" s="116">
        <f t="shared" si="14"/>
        <v>152770.02268633581</v>
      </c>
      <c r="J263" s="19"/>
      <c r="K263" s="19"/>
      <c r="L263" s="19"/>
      <c r="M263" s="91"/>
      <c r="N263" s="110"/>
      <c r="O263" s="111"/>
      <c r="P263" s="23"/>
      <c r="Q263" s="164"/>
      <c r="T263" s="62"/>
      <c r="U263" s="30"/>
      <c r="V263" s="30"/>
      <c r="W263" s="30"/>
      <c r="X263" s="29"/>
      <c r="Y263" s="38"/>
      <c r="Z263" s="30"/>
      <c r="AA263" s="30"/>
      <c r="AB263" s="30"/>
      <c r="AC263" s="30"/>
      <c r="AD263" s="30"/>
      <c r="AE263" s="30"/>
      <c r="AF263" s="30"/>
      <c r="AG263" s="30"/>
      <c r="AH263" s="30"/>
      <c r="AI263" s="30"/>
      <c r="AJ263" s="27"/>
      <c r="AK263" s="30"/>
      <c r="AL263" s="30"/>
      <c r="AM263" s="30"/>
      <c r="AN263" s="30"/>
      <c r="AO263" s="30"/>
      <c r="AP263" s="30"/>
      <c r="AQ263" s="30"/>
    </row>
    <row r="264" spans="1:43">
      <c r="B264" s="116">
        <f t="shared" si="22"/>
        <v>72375</v>
      </c>
      <c r="C264" s="117">
        <f t="shared" si="15"/>
        <v>30.088169548174029</v>
      </c>
      <c r="D264" s="118">
        <f t="shared" si="16"/>
        <v>1.5307644905978694E-2</v>
      </c>
      <c r="E264" s="116">
        <f t="shared" si="19"/>
        <v>291515.14213548659</v>
      </c>
      <c r="F264" s="116">
        <f t="shared" si="20"/>
        <v>4728029.7161670215</v>
      </c>
      <c r="G264" s="117">
        <f t="shared" si="17"/>
        <v>0.42345094745253398</v>
      </c>
      <c r="H264" s="117">
        <f t="shared" si="18"/>
        <v>0.37751577955909726</v>
      </c>
      <c r="I264" s="116">
        <f t="shared" si="14"/>
        <v>191713.84063608455</v>
      </c>
      <c r="J264" s="19"/>
      <c r="K264" s="19"/>
      <c r="L264" s="19"/>
      <c r="M264" s="91"/>
      <c r="N264" s="110"/>
      <c r="O264" s="111"/>
      <c r="P264" s="23"/>
      <c r="Q264" s="164"/>
      <c r="T264" s="62"/>
      <c r="U264" s="30"/>
      <c r="V264" s="30"/>
      <c r="W264" s="30"/>
      <c r="X264" s="29"/>
      <c r="Y264" s="38"/>
      <c r="Z264" s="30"/>
      <c r="AA264" s="30"/>
      <c r="AB264" s="30"/>
      <c r="AC264" s="30"/>
      <c r="AD264" s="30"/>
      <c r="AE264" s="30"/>
      <c r="AF264" s="30"/>
      <c r="AG264" s="30"/>
      <c r="AH264" s="30"/>
      <c r="AI264" s="30"/>
      <c r="AJ264" s="27"/>
      <c r="AK264" s="30"/>
      <c r="AL264" s="30"/>
      <c r="AM264" s="30"/>
      <c r="AN264" s="30"/>
      <c r="AO264" s="30"/>
      <c r="AP264" s="30"/>
      <c r="AQ264" s="30"/>
    </row>
    <row r="265" spans="1:43">
      <c r="B265" s="116">
        <f t="shared" si="22"/>
        <v>73500</v>
      </c>
      <c r="C265" s="117">
        <f t="shared" si="15"/>
        <v>30.088169548174029</v>
      </c>
      <c r="D265" s="118">
        <f t="shared" si="16"/>
        <v>2.0384330866359667E-2</v>
      </c>
      <c r="E265" s="116">
        <f t="shared" si="19"/>
        <v>190882.16853783629</v>
      </c>
      <c r="F265" s="116">
        <f t="shared" si="20"/>
        <v>3605710.7040632521</v>
      </c>
      <c r="G265" s="117">
        <f t="shared" si="17"/>
        <v>0.44162182669611877</v>
      </c>
      <c r="H265" s="117">
        <f t="shared" si="18"/>
        <v>0.29237674571423994</v>
      </c>
      <c r="I265" s="116">
        <f t="shared" si="14"/>
        <v>251387.98169617992</v>
      </c>
      <c r="J265" s="19"/>
      <c r="K265" s="19"/>
      <c r="L265" s="19"/>
      <c r="M265" s="91"/>
      <c r="N265" s="110"/>
      <c r="O265" s="111"/>
      <c r="P265" s="23"/>
      <c r="Q265" s="164"/>
      <c r="T265" s="62"/>
      <c r="U265" s="30"/>
      <c r="V265" s="30"/>
      <c r="W265" s="30"/>
      <c r="X265" s="29"/>
      <c r="Y265" s="38"/>
      <c r="Z265" s="30"/>
      <c r="AA265" s="30"/>
      <c r="AB265" s="30"/>
      <c r="AC265" s="30"/>
      <c r="AD265" s="30"/>
      <c r="AE265" s="30"/>
      <c r="AF265" s="30"/>
      <c r="AG265" s="30"/>
      <c r="AH265" s="30"/>
      <c r="AI265" s="30"/>
      <c r="AJ265" s="27"/>
      <c r="AK265" s="30"/>
      <c r="AL265" s="30"/>
      <c r="AM265" s="30"/>
      <c r="AN265" s="30"/>
      <c r="AO265" s="30"/>
      <c r="AP265" s="30"/>
      <c r="AQ265" s="30"/>
    </row>
    <row r="266" spans="1:43">
      <c r="B266" s="116">
        <f t="shared" si="22"/>
        <v>74625</v>
      </c>
      <c r="C266" s="117">
        <f t="shared" si="15"/>
        <v>30.088169548174029</v>
      </c>
      <c r="D266" s="118">
        <f t="shared" si="16"/>
        <v>2.8246339104708265E-2</v>
      </c>
      <c r="E266" s="116">
        <f t="shared" si="19"/>
        <v>125377.14555448659</v>
      </c>
      <c r="F266" s="116">
        <f t="shared" si="20"/>
        <v>2641935.2866708688</v>
      </c>
      <c r="G266" s="117">
        <f t="shared" si="17"/>
        <v>0.45722580964437642</v>
      </c>
      <c r="H266" s="117">
        <f t="shared" si="18"/>
        <v>0.2174824764149994</v>
      </c>
      <c r="I266" s="116">
        <f t="shared" si="14"/>
        <v>343131.09373281553</v>
      </c>
      <c r="J266" s="19"/>
      <c r="K266" s="19"/>
      <c r="L266" s="19"/>
      <c r="M266" s="91"/>
      <c r="N266" s="110"/>
      <c r="O266" s="111"/>
      <c r="P266" s="23"/>
      <c r="Q266" s="164"/>
      <c r="T266" s="62"/>
      <c r="U266" s="30"/>
      <c r="V266" s="30"/>
      <c r="W266" s="30"/>
      <c r="X266" s="29"/>
      <c r="Y266" s="38"/>
      <c r="Z266" s="30"/>
      <c r="AA266" s="30"/>
      <c r="AB266" s="30"/>
      <c r="AC266" s="30"/>
      <c r="AD266" s="30"/>
      <c r="AE266" s="30"/>
      <c r="AF266" s="30"/>
      <c r="AG266" s="30"/>
      <c r="AH266" s="30"/>
      <c r="AI266" s="30"/>
      <c r="AJ266" s="27"/>
      <c r="AK266" s="30"/>
      <c r="AL266" s="30"/>
      <c r="AM266" s="30"/>
      <c r="AN266" s="30"/>
      <c r="AO266" s="30"/>
      <c r="AP266" s="30"/>
      <c r="AQ266" s="30"/>
    </row>
    <row r="267" spans="1:43">
      <c r="B267" s="116">
        <f t="shared" si="22"/>
        <v>75750</v>
      </c>
      <c r="C267" s="117">
        <f t="shared" si="15"/>
        <v>30.088169548174029</v>
      </c>
      <c r="D267" s="118">
        <f t="shared" si="16"/>
        <v>4.0373956736257641E-2</v>
      </c>
      <c r="E267" s="116">
        <f t="shared" si="19"/>
        <v>82694.439266774381</v>
      </c>
      <c r="F267" s="116">
        <f t="shared" si="20"/>
        <v>1876209.4707446166</v>
      </c>
      <c r="G267" s="117">
        <f t="shared" si="17"/>
        <v>0.46962327523556335</v>
      </c>
      <c r="H267" s="117">
        <f t="shared" si="18"/>
        <v>0.15648236655470496</v>
      </c>
      <c r="I267" s="116">
        <f t="shared" si="14"/>
        <v>484080.1022364294</v>
      </c>
      <c r="J267" s="19"/>
      <c r="K267" s="19"/>
      <c r="L267" s="19"/>
      <c r="M267" s="91"/>
      <c r="N267" s="110"/>
      <c r="O267" s="111"/>
      <c r="P267" s="23"/>
      <c r="Q267" s="164"/>
      <c r="T267" s="62"/>
      <c r="U267" s="30"/>
      <c r="V267" s="30"/>
      <c r="W267" s="30"/>
      <c r="X267" s="29"/>
      <c r="Y267" s="38"/>
      <c r="Z267" s="30"/>
      <c r="AA267" s="30"/>
      <c r="AB267" s="30"/>
      <c r="AC267" s="30"/>
      <c r="AD267" s="30"/>
      <c r="AE267" s="30"/>
      <c r="AF267" s="30"/>
      <c r="AG267" s="30"/>
      <c r="AH267" s="30"/>
      <c r="AI267" s="30"/>
      <c r="AJ267" s="27"/>
      <c r="AK267" s="30"/>
      <c r="AL267" s="30"/>
      <c r="AM267" s="30"/>
      <c r="AN267" s="30"/>
      <c r="AO267" s="30"/>
      <c r="AP267" s="30"/>
      <c r="AQ267" s="30"/>
    </row>
    <row r="268" spans="1:43">
      <c r="B268" s="116">
        <f t="shared" si="22"/>
        <v>76875</v>
      </c>
      <c r="C268" s="117">
        <f t="shared" si="15"/>
        <v>30.088169548174029</v>
      </c>
      <c r="D268" s="118">
        <f t="shared" si="16"/>
        <v>5.8992737876108654E-2</v>
      </c>
      <c r="E268" s="116">
        <f t="shared" si="19"/>
        <v>54802.866437452787</v>
      </c>
      <c r="F268" s="116">
        <f t="shared" si="20"/>
        <v>1303126.4994251681</v>
      </c>
      <c r="G268" s="117">
        <f t="shared" si="17"/>
        <v>0.47890176143787822</v>
      </c>
      <c r="H268" s="117">
        <f t="shared" si="18"/>
        <v>0.10982413520950823</v>
      </c>
      <c r="I268" s="116">
        <f t="shared" si="14"/>
        <v>699982.74835807132</v>
      </c>
      <c r="J268" s="19"/>
      <c r="K268" s="19"/>
      <c r="L268" s="19"/>
      <c r="M268" s="91"/>
      <c r="N268" s="110"/>
      <c r="O268" s="111"/>
      <c r="P268" s="23"/>
      <c r="Q268" s="164"/>
      <c r="T268" s="62"/>
      <c r="U268" s="30"/>
      <c r="V268" s="30"/>
      <c r="W268" s="30"/>
      <c r="X268" s="29"/>
      <c r="Y268" s="38"/>
      <c r="Z268" s="30"/>
      <c r="AA268" s="30"/>
      <c r="AB268" s="30"/>
      <c r="AC268" s="30"/>
      <c r="AD268" s="30"/>
      <c r="AE268" s="30"/>
      <c r="AF268" s="30"/>
      <c r="AG268" s="30"/>
      <c r="AH268" s="30"/>
      <c r="AI268" s="30"/>
      <c r="AJ268" s="27"/>
      <c r="AK268" s="30"/>
      <c r="AL268" s="30"/>
      <c r="AM268" s="30"/>
      <c r="AN268" s="30"/>
      <c r="AO268" s="30"/>
      <c r="AP268" s="30"/>
      <c r="AQ268" s="30"/>
    </row>
    <row r="269" spans="1:43">
      <c r="B269" s="116">
        <f>MIN(D18:D20)</f>
        <v>78000</v>
      </c>
      <c r="C269" s="117">
        <f t="shared" si="15"/>
        <v>30.088169548174029</v>
      </c>
      <c r="D269" s="118">
        <f t="shared" si="16"/>
        <v>8.7428571428571425E-2</v>
      </c>
      <c r="E269" s="116">
        <f t="shared" si="19"/>
        <v>36504.118752859387</v>
      </c>
      <c r="F269" s="116">
        <f t="shared" si="20"/>
        <v>892156.86274509807</v>
      </c>
      <c r="G269" s="117">
        <f t="shared" si="17"/>
        <v>0.48555555555555557</v>
      </c>
      <c r="H269" s="117">
        <f t="shared" si="18"/>
        <v>7.5780158554073426E-2</v>
      </c>
      <c r="I269" s="116">
        <f t="shared" si="14"/>
        <v>1029293.1749983419</v>
      </c>
      <c r="J269" s="19"/>
      <c r="K269" s="19"/>
      <c r="L269" s="19"/>
      <c r="M269" s="91"/>
      <c r="N269" s="110"/>
      <c r="O269" s="111"/>
      <c r="P269" s="23"/>
      <c r="Q269" s="164"/>
      <c r="T269" s="62"/>
      <c r="U269" s="30"/>
      <c r="V269" s="30"/>
      <c r="W269" s="30"/>
      <c r="X269" s="29"/>
      <c r="Y269" s="38"/>
      <c r="Z269" s="30"/>
      <c r="AA269" s="30"/>
      <c r="AB269" s="30"/>
      <c r="AC269" s="30"/>
      <c r="AD269" s="30"/>
      <c r="AE269" s="30"/>
      <c r="AF269" s="30"/>
      <c r="AG269" s="30"/>
      <c r="AH269" s="30"/>
      <c r="AI269" s="30"/>
      <c r="AJ269" s="27"/>
      <c r="AK269" s="30"/>
      <c r="AL269" s="30"/>
      <c r="AM269" s="30"/>
      <c r="AN269" s="30"/>
      <c r="AO269" s="30"/>
      <c r="AP269" s="30"/>
      <c r="AQ269" s="30"/>
    </row>
    <row r="270" spans="1:43">
      <c r="A270" s="38"/>
      <c r="B270" s="117"/>
      <c r="C270" s="118"/>
      <c r="D270" s="117"/>
      <c r="E270" s="117"/>
      <c r="F270" s="117"/>
      <c r="G270" s="117"/>
      <c r="H270" s="117"/>
      <c r="I270" s="129"/>
      <c r="J270" s="19"/>
      <c r="K270" s="19"/>
      <c r="L270" s="19"/>
      <c r="M270" s="91"/>
      <c r="N270" s="110"/>
      <c r="O270" s="111"/>
      <c r="P270" s="23"/>
      <c r="Q270" s="164"/>
      <c r="T270" s="62"/>
      <c r="U270" s="30"/>
      <c r="V270" s="30"/>
      <c r="W270" s="30"/>
      <c r="X270" s="29"/>
      <c r="Y270" s="38"/>
      <c r="Z270" s="30"/>
      <c r="AA270" s="30"/>
      <c r="AB270" s="30"/>
      <c r="AC270" s="30"/>
      <c r="AD270" s="30"/>
      <c r="AE270" s="30"/>
      <c r="AF270" s="30"/>
      <c r="AG270" s="30"/>
      <c r="AH270" s="30"/>
      <c r="AI270" s="30"/>
      <c r="AJ270" s="27"/>
      <c r="AK270" s="30"/>
      <c r="AL270" s="30"/>
      <c r="AM270" s="30"/>
      <c r="AN270" s="30"/>
      <c r="AO270" s="30"/>
      <c r="AP270" s="30"/>
      <c r="AQ270" s="30"/>
    </row>
    <row r="271" spans="1:43">
      <c r="A271" s="116"/>
      <c r="B271" s="117"/>
      <c r="C271" s="118"/>
      <c r="D271" s="116"/>
      <c r="E271" s="116"/>
      <c r="F271" s="117"/>
      <c r="G271" s="117"/>
      <c r="H271" s="116"/>
      <c r="I271" s="6"/>
      <c r="J271" s="19"/>
      <c r="K271" s="19"/>
      <c r="L271" s="19"/>
      <c r="M271" s="91"/>
      <c r="N271" s="110"/>
      <c r="O271" s="111"/>
      <c r="P271" s="23"/>
      <c r="Q271" s="164"/>
      <c r="T271" s="62"/>
      <c r="U271" s="30"/>
      <c r="V271" s="30"/>
      <c r="W271" s="30"/>
      <c r="X271" s="29"/>
      <c r="Y271" s="38"/>
      <c r="Z271" s="30"/>
      <c r="AA271" s="30"/>
      <c r="AB271" s="30"/>
      <c r="AC271" s="30"/>
      <c r="AD271" s="30"/>
      <c r="AE271" s="30"/>
      <c r="AF271" s="30"/>
      <c r="AG271" s="30"/>
      <c r="AH271" s="30"/>
      <c r="AI271" s="30"/>
      <c r="AJ271" s="27"/>
      <c r="AK271" s="30"/>
      <c r="AL271" s="30"/>
      <c r="AM271" s="30"/>
      <c r="AN271" s="30"/>
      <c r="AO271" s="30"/>
      <c r="AP271" s="30"/>
      <c r="AQ271" s="30"/>
    </row>
    <row r="272" spans="1:43">
      <c r="A272" s="116"/>
      <c r="B272" s="117"/>
      <c r="C272" s="118"/>
      <c r="D272" s="116"/>
      <c r="E272" s="116"/>
      <c r="F272" s="117"/>
      <c r="G272" s="117"/>
      <c r="H272" s="116"/>
      <c r="I272" s="6"/>
      <c r="J272" s="19"/>
      <c r="K272" s="19"/>
      <c r="L272" s="19"/>
      <c r="M272" s="91"/>
      <c r="N272" s="110"/>
      <c r="O272" s="111"/>
      <c r="P272" s="23"/>
      <c r="Q272" s="164"/>
      <c r="T272" s="62"/>
      <c r="U272" s="30"/>
      <c r="V272" s="30"/>
      <c r="W272" s="30"/>
      <c r="X272" s="29"/>
      <c r="Y272" s="38"/>
      <c r="Z272" s="30"/>
      <c r="AA272" s="30"/>
      <c r="AB272" s="30"/>
      <c r="AC272" s="30"/>
      <c r="AD272" s="30"/>
      <c r="AE272" s="30"/>
      <c r="AF272" s="30"/>
      <c r="AG272" s="30"/>
      <c r="AH272" s="30"/>
      <c r="AI272" s="30"/>
      <c r="AJ272" s="27"/>
      <c r="AK272" s="30"/>
      <c r="AL272" s="30"/>
      <c r="AM272" s="30"/>
      <c r="AN272" s="30"/>
      <c r="AO272" s="30"/>
      <c r="AP272" s="30"/>
      <c r="AQ272" s="30"/>
    </row>
    <row r="273" spans="1:43">
      <c r="A273" s="116"/>
      <c r="B273" s="117"/>
      <c r="C273" s="118"/>
      <c r="D273" s="116"/>
      <c r="E273" s="116"/>
      <c r="F273" s="117"/>
      <c r="G273" s="117"/>
      <c r="H273" s="116"/>
      <c r="I273" s="6"/>
      <c r="J273" s="19"/>
      <c r="K273" s="19"/>
      <c r="L273" s="19"/>
      <c r="M273" s="91"/>
      <c r="N273" s="110"/>
      <c r="O273" s="111"/>
      <c r="P273" s="23"/>
      <c r="Q273" s="164"/>
      <c r="T273" s="62"/>
      <c r="U273" s="30"/>
      <c r="V273" s="30"/>
      <c r="W273" s="30"/>
      <c r="X273" s="29"/>
      <c r="Y273" s="38"/>
      <c r="Z273" s="30"/>
      <c r="AA273" s="30"/>
      <c r="AB273" s="30"/>
      <c r="AC273" s="30"/>
      <c r="AD273" s="30"/>
      <c r="AE273" s="30"/>
      <c r="AF273" s="30"/>
      <c r="AG273" s="30"/>
      <c r="AH273" s="30"/>
      <c r="AI273" s="30"/>
      <c r="AJ273" s="27"/>
      <c r="AK273" s="30"/>
      <c r="AL273" s="30"/>
      <c r="AM273" s="30"/>
      <c r="AN273" s="30"/>
      <c r="AO273" s="30"/>
      <c r="AP273" s="30"/>
      <c r="AQ273" s="30"/>
    </row>
    <row r="274" spans="1:43">
      <c r="A274" s="116"/>
      <c r="B274" s="117"/>
      <c r="C274" s="118"/>
      <c r="D274" s="116"/>
      <c r="E274" s="116"/>
      <c r="F274" s="117"/>
      <c r="G274" s="117"/>
      <c r="H274" s="116"/>
      <c r="I274" s="6"/>
      <c r="J274" s="19"/>
      <c r="K274" s="19"/>
      <c r="L274" s="19"/>
      <c r="M274" s="91"/>
      <c r="N274" s="110"/>
      <c r="O274" s="111"/>
      <c r="P274" s="23"/>
      <c r="Q274" s="164"/>
      <c r="T274" s="62"/>
      <c r="U274" s="30"/>
      <c r="V274" s="30"/>
      <c r="W274" s="30"/>
      <c r="X274" s="29"/>
      <c r="Y274" s="38"/>
      <c r="Z274" s="30"/>
      <c r="AA274" s="30"/>
      <c r="AB274" s="30"/>
      <c r="AC274" s="30"/>
      <c r="AD274" s="30"/>
      <c r="AE274" s="30"/>
      <c r="AF274" s="30"/>
      <c r="AG274" s="30"/>
      <c r="AH274" s="30"/>
      <c r="AI274" s="30"/>
      <c r="AJ274" s="27"/>
      <c r="AK274" s="30"/>
      <c r="AL274" s="30"/>
      <c r="AM274" s="30"/>
      <c r="AN274" s="30"/>
      <c r="AO274" s="30"/>
      <c r="AP274" s="30"/>
      <c r="AQ274" s="30"/>
    </row>
    <row r="275" spans="1:43">
      <c r="A275" s="116"/>
      <c r="B275" s="117"/>
      <c r="C275" s="118"/>
      <c r="D275" s="116"/>
      <c r="E275" s="116"/>
      <c r="F275" s="117"/>
      <c r="G275" s="117"/>
      <c r="H275" s="116"/>
      <c r="I275" s="6"/>
      <c r="J275" s="19"/>
      <c r="K275" s="19"/>
      <c r="L275" s="19"/>
      <c r="M275" s="91"/>
      <c r="N275" s="110"/>
      <c r="O275" s="111"/>
      <c r="P275" s="23"/>
      <c r="Q275" s="164"/>
      <c r="T275" s="62"/>
      <c r="U275" s="30"/>
      <c r="V275" s="30"/>
      <c r="W275" s="30"/>
      <c r="X275" s="29"/>
      <c r="Y275" s="38"/>
      <c r="Z275" s="30"/>
      <c r="AA275" s="30"/>
      <c r="AB275" s="30"/>
      <c r="AC275" s="30"/>
      <c r="AD275" s="30"/>
      <c r="AE275" s="30"/>
      <c r="AF275" s="30"/>
      <c r="AG275" s="30"/>
      <c r="AH275" s="30"/>
      <c r="AI275" s="30"/>
      <c r="AJ275" s="27"/>
      <c r="AK275" s="30"/>
      <c r="AL275" s="30"/>
      <c r="AM275" s="30"/>
      <c r="AN275" s="30"/>
      <c r="AO275" s="30"/>
      <c r="AP275" s="30"/>
      <c r="AQ275" s="30"/>
    </row>
    <row r="276" spans="1:43">
      <c r="A276" s="116"/>
      <c r="B276" s="117"/>
      <c r="C276" s="118"/>
      <c r="D276" s="116"/>
      <c r="E276" s="116"/>
      <c r="F276" s="117"/>
      <c r="G276" s="117"/>
      <c r="H276" s="116"/>
      <c r="I276" s="6"/>
      <c r="J276" s="19"/>
      <c r="K276" s="19"/>
      <c r="L276" s="19"/>
      <c r="M276" s="91"/>
      <c r="N276" s="110"/>
      <c r="O276" s="111"/>
      <c r="P276" s="23"/>
      <c r="Q276" s="164"/>
      <c r="T276" s="62"/>
      <c r="U276" s="30"/>
      <c r="V276" s="30"/>
      <c r="W276" s="30"/>
      <c r="X276" s="29"/>
      <c r="Y276" s="38"/>
      <c r="Z276" s="30"/>
      <c r="AA276" s="30"/>
      <c r="AB276" s="30"/>
      <c r="AC276" s="30"/>
      <c r="AD276" s="30"/>
      <c r="AE276" s="30"/>
      <c r="AF276" s="30"/>
      <c r="AG276" s="30"/>
      <c r="AH276" s="30"/>
      <c r="AI276" s="30"/>
      <c r="AJ276" s="27"/>
      <c r="AK276" s="30"/>
      <c r="AL276" s="30"/>
      <c r="AM276" s="30"/>
      <c r="AN276" s="30"/>
      <c r="AO276" s="30"/>
      <c r="AP276" s="30"/>
      <c r="AQ276" s="30"/>
    </row>
    <row r="277" spans="1:43">
      <c r="A277" s="34"/>
      <c r="B277" s="116"/>
      <c r="C277" s="117"/>
      <c r="D277" s="118"/>
      <c r="E277" s="116"/>
      <c r="F277" s="116"/>
      <c r="G277" s="117"/>
      <c r="H277" s="117"/>
      <c r="I277" s="6"/>
      <c r="J277" s="19"/>
      <c r="K277" s="19"/>
      <c r="L277" s="6"/>
      <c r="M277" s="91"/>
      <c r="N277" s="110"/>
      <c r="O277" s="111"/>
      <c r="P277" s="23"/>
      <c r="Q277" s="164"/>
      <c r="T277" s="62"/>
      <c r="U277" s="30"/>
      <c r="V277" s="30"/>
      <c r="W277" s="30"/>
      <c r="X277" s="29"/>
      <c r="Y277" s="38"/>
      <c r="Z277" s="30"/>
      <c r="AA277" s="30"/>
      <c r="AB277" s="30"/>
      <c r="AC277" s="30"/>
      <c r="AD277" s="30"/>
      <c r="AE277" s="30"/>
      <c r="AF277" s="30"/>
      <c r="AG277" s="30"/>
      <c r="AH277" s="30"/>
      <c r="AI277" s="30"/>
      <c r="AJ277" s="27"/>
      <c r="AK277" s="30"/>
      <c r="AL277" s="30"/>
      <c r="AM277" s="30"/>
      <c r="AN277" s="30"/>
      <c r="AO277" s="30"/>
      <c r="AP277" s="30"/>
      <c r="AQ277" s="30"/>
    </row>
    <row r="278" spans="1:43">
      <c r="A278" s="34"/>
      <c r="B278" s="116"/>
      <c r="C278" s="117"/>
      <c r="D278" s="118"/>
      <c r="E278" s="116"/>
      <c r="F278" s="116"/>
      <c r="G278" s="117"/>
      <c r="H278" s="117"/>
      <c r="I278" s="6"/>
      <c r="J278" s="19"/>
      <c r="K278" s="19"/>
      <c r="L278" s="6"/>
      <c r="M278" s="91"/>
      <c r="N278" s="110"/>
      <c r="O278" s="111"/>
      <c r="P278" s="23"/>
      <c r="Q278" s="164"/>
      <c r="T278" s="62"/>
      <c r="U278" s="30"/>
      <c r="V278" s="30"/>
      <c r="W278" s="30"/>
      <c r="X278" s="29"/>
      <c r="Y278" s="38"/>
      <c r="Z278" s="30"/>
      <c r="AA278" s="30"/>
      <c r="AB278" s="30"/>
      <c r="AC278" s="30"/>
      <c r="AD278" s="30"/>
      <c r="AE278" s="30"/>
      <c r="AF278" s="30"/>
      <c r="AG278" s="30"/>
      <c r="AH278" s="30"/>
      <c r="AI278" s="30"/>
      <c r="AJ278" s="27"/>
      <c r="AK278" s="30"/>
      <c r="AL278" s="30"/>
      <c r="AM278" s="30"/>
      <c r="AN278" s="30"/>
      <c r="AO278" s="30"/>
      <c r="AP278" s="30"/>
      <c r="AQ278" s="30"/>
    </row>
    <row r="279" spans="1:43">
      <c r="A279" s="34"/>
      <c r="B279" s="116"/>
      <c r="C279" s="117"/>
      <c r="D279" s="118"/>
      <c r="E279" s="116"/>
      <c r="F279" s="116"/>
      <c r="G279" s="117"/>
      <c r="H279" s="117"/>
      <c r="I279" s="6"/>
      <c r="J279" s="19"/>
      <c r="K279" s="19"/>
      <c r="L279" s="6"/>
      <c r="M279" s="91"/>
      <c r="N279" s="110"/>
      <c r="O279" s="111"/>
      <c r="P279" s="23"/>
      <c r="Q279" s="164"/>
      <c r="T279" s="62"/>
      <c r="U279" s="30"/>
      <c r="V279" s="30"/>
      <c r="W279" s="30"/>
      <c r="X279" s="29"/>
      <c r="Y279" s="38"/>
      <c r="Z279" s="30"/>
      <c r="AA279" s="30"/>
      <c r="AB279" s="30"/>
      <c r="AC279" s="30"/>
      <c r="AD279" s="30"/>
      <c r="AE279" s="30"/>
      <c r="AF279" s="30"/>
      <c r="AG279" s="30"/>
      <c r="AH279" s="30"/>
      <c r="AI279" s="30"/>
      <c r="AJ279" s="27"/>
      <c r="AK279" s="30"/>
      <c r="AL279" s="30"/>
      <c r="AM279" s="30"/>
      <c r="AN279" s="30"/>
      <c r="AO279" s="30"/>
      <c r="AP279" s="30"/>
      <c r="AQ279" s="30"/>
    </row>
    <row r="280" spans="1:43">
      <c r="A280" s="34"/>
      <c r="B280" s="27"/>
      <c r="C280" s="27"/>
      <c r="D280" s="27"/>
      <c r="E280" s="27"/>
      <c r="F280" s="27"/>
      <c r="G280" s="27"/>
      <c r="H280" s="27"/>
      <c r="I280" s="19"/>
      <c r="J280" s="19"/>
      <c r="K280" s="19"/>
      <c r="L280" s="19"/>
      <c r="M280" s="91"/>
      <c r="N280" s="110"/>
      <c r="O280" s="111"/>
      <c r="P280" s="23"/>
      <c r="Q280" s="164"/>
      <c r="T280" s="62"/>
      <c r="U280" s="30"/>
      <c r="V280" s="30"/>
      <c r="W280" s="30"/>
      <c r="X280" s="29"/>
      <c r="Y280" s="38"/>
      <c r="Z280" s="30"/>
      <c r="AA280" s="30"/>
      <c r="AB280" s="30"/>
      <c r="AC280" s="30"/>
      <c r="AD280" s="30"/>
      <c r="AE280" s="30"/>
      <c r="AF280" s="30"/>
      <c r="AG280" s="30"/>
      <c r="AH280" s="30"/>
      <c r="AI280" s="30"/>
      <c r="AJ280" s="27"/>
      <c r="AK280" s="30"/>
      <c r="AL280" s="30"/>
      <c r="AM280" s="30"/>
      <c r="AN280" s="30"/>
      <c r="AO280" s="30"/>
      <c r="AP280" s="30"/>
      <c r="AQ280" s="30"/>
    </row>
    <row r="281" spans="1:43">
      <c r="A281" s="34"/>
      <c r="B281" s="27"/>
      <c r="C281" s="27"/>
      <c r="D281" s="27"/>
      <c r="E281" s="27"/>
      <c r="F281" s="27"/>
      <c r="G281" s="27"/>
      <c r="H281" s="27"/>
      <c r="I281" s="19"/>
      <c r="J281" s="19"/>
      <c r="K281" s="19"/>
      <c r="L281" s="19"/>
      <c r="M281" s="91"/>
      <c r="N281" s="110"/>
      <c r="O281" s="111"/>
      <c r="P281" s="23"/>
      <c r="Q281" s="164"/>
      <c r="T281" s="62"/>
      <c r="U281" s="30"/>
      <c r="V281" s="30"/>
      <c r="W281" s="30"/>
      <c r="X281" s="29"/>
      <c r="Y281" s="38"/>
      <c r="Z281" s="30"/>
      <c r="AA281" s="30"/>
      <c r="AB281" s="30"/>
      <c r="AC281" s="30"/>
      <c r="AD281" s="30"/>
      <c r="AE281" s="30"/>
      <c r="AF281" s="30"/>
      <c r="AG281" s="30"/>
      <c r="AH281" s="30"/>
      <c r="AI281" s="30"/>
      <c r="AJ281" s="27"/>
      <c r="AK281" s="30"/>
      <c r="AL281" s="30"/>
      <c r="AM281" s="30"/>
      <c r="AN281" s="30"/>
      <c r="AO281" s="30"/>
      <c r="AP281" s="30"/>
      <c r="AQ281" s="30"/>
    </row>
    <row r="282" spans="1:43" s="8" customFormat="1">
      <c r="A282" s="27"/>
      <c r="C282" s="80"/>
      <c r="D282" s="27"/>
      <c r="E282" s="27"/>
      <c r="F282" s="27"/>
      <c r="G282" s="80"/>
      <c r="H282" s="27"/>
      <c r="I282" s="27"/>
      <c r="J282" s="27"/>
      <c r="K282" s="27"/>
      <c r="L282" s="23"/>
      <c r="M282" s="91"/>
      <c r="N282" s="110"/>
      <c r="O282" s="111"/>
      <c r="P282" s="23"/>
      <c r="Q282" s="164"/>
      <c r="R282" s="111"/>
      <c r="S282" s="111"/>
      <c r="T282" s="163"/>
      <c r="U282" s="82"/>
      <c r="V282" s="82"/>
      <c r="W282" s="82"/>
      <c r="X282" s="29"/>
      <c r="Y282" s="38"/>
      <c r="Z282" s="82"/>
      <c r="AA282" s="121"/>
      <c r="AB282" s="82"/>
      <c r="AC282" s="82"/>
      <c r="AD282" s="82"/>
      <c r="AE282" s="82"/>
      <c r="AF282" s="82"/>
      <c r="AG282" s="82"/>
      <c r="AH282" s="82"/>
      <c r="AI282" s="82"/>
      <c r="AJ282" s="38"/>
      <c r="AK282" s="82"/>
      <c r="AL282" s="82"/>
      <c r="AM282" s="82"/>
      <c r="AN282" s="82"/>
      <c r="AO282" s="82"/>
      <c r="AP282" s="82"/>
      <c r="AQ282" s="82"/>
    </row>
    <row r="283" spans="1:43" s="8" customFormat="1">
      <c r="A283" s="27"/>
      <c r="B283" s="193"/>
      <c r="C283" s="80"/>
      <c r="D283" s="28"/>
      <c r="E283" s="28"/>
      <c r="F283" s="194" t="s">
        <v>276</v>
      </c>
      <c r="G283" s="80"/>
      <c r="H283" s="28"/>
      <c r="I283" s="28"/>
      <c r="J283" s="28"/>
      <c r="K283" s="27"/>
      <c r="L283" s="23"/>
      <c r="M283" s="91"/>
      <c r="N283" s="110"/>
      <c r="O283" s="111"/>
      <c r="P283" s="23"/>
      <c r="Q283" s="164"/>
      <c r="R283" s="111"/>
      <c r="S283" s="111"/>
      <c r="T283" s="163"/>
      <c r="U283" s="82"/>
      <c r="V283" s="82"/>
      <c r="W283" s="82"/>
      <c r="X283" s="29"/>
      <c r="Y283" s="38"/>
      <c r="Z283" s="82"/>
      <c r="AA283" s="82"/>
      <c r="AB283" s="82"/>
      <c r="AC283" s="82"/>
      <c r="AD283" s="82"/>
      <c r="AE283" s="82"/>
      <c r="AF283" s="82"/>
      <c r="AG283" s="82"/>
      <c r="AH283" s="82"/>
      <c r="AI283" s="82"/>
      <c r="AJ283" s="38"/>
      <c r="AK283" s="82"/>
      <c r="AL283" s="82"/>
      <c r="AM283" s="82"/>
      <c r="AN283" s="82"/>
      <c r="AO283" s="82"/>
      <c r="AP283" s="82"/>
      <c r="AQ283" s="82"/>
    </row>
    <row r="284" spans="1:43" s="8" customFormat="1">
      <c r="A284" s="27"/>
      <c r="B284" s="28"/>
      <c r="C284" s="28"/>
      <c r="D284" s="28"/>
      <c r="E284" s="28"/>
      <c r="F284" s="204" t="s">
        <v>292</v>
      </c>
      <c r="G284" s="28"/>
      <c r="H284" s="28"/>
      <c r="I284" s="28"/>
      <c r="J284" s="28"/>
      <c r="K284" s="27"/>
      <c r="L284" s="19"/>
      <c r="M284" s="91"/>
      <c r="N284" s="110"/>
      <c r="O284" s="111"/>
      <c r="P284" s="23"/>
      <c r="Q284" s="164"/>
      <c r="R284" s="111"/>
      <c r="S284" s="111"/>
      <c r="T284" s="163"/>
      <c r="U284" s="38"/>
      <c r="V284" s="38"/>
      <c r="W284" s="38"/>
      <c r="X284" s="29"/>
      <c r="Y284" s="38"/>
      <c r="Z284" s="38"/>
      <c r="AA284" s="38"/>
      <c r="AB284" s="38"/>
      <c r="AC284" s="38"/>
      <c r="AD284" s="38"/>
      <c r="AE284" s="38"/>
      <c r="AF284" s="38"/>
      <c r="AG284" s="38"/>
      <c r="AH284" s="38"/>
      <c r="AI284" s="38"/>
      <c r="AJ284" s="38"/>
      <c r="AK284" s="82"/>
      <c r="AL284" s="82"/>
      <c r="AM284" s="82"/>
      <c r="AN284" s="82"/>
      <c r="AO284" s="82"/>
      <c r="AP284" s="82"/>
      <c r="AQ284" s="82"/>
    </row>
    <row r="285" spans="1:43" s="8" customFormat="1">
      <c r="A285" s="146"/>
      <c r="B285" s="141"/>
      <c r="C285" s="141"/>
      <c r="D285" s="141"/>
      <c r="E285" s="13" t="s">
        <v>47</v>
      </c>
      <c r="F285" s="14" t="str">
        <f>$C$1</f>
        <v>R. Abbott</v>
      </c>
      <c r="G285" s="15"/>
      <c r="H285" s="16"/>
      <c r="I285" s="13" t="s">
        <v>53</v>
      </c>
      <c r="J285" s="17" t="str">
        <f>$G$2</f>
        <v>AA-SM-000-001</v>
      </c>
      <c r="K285" s="16"/>
      <c r="L285" s="18"/>
      <c r="M285" s="10"/>
      <c r="N285" s="110"/>
      <c r="O285" s="111"/>
      <c r="P285" s="23"/>
      <c r="Q285" s="164"/>
      <c r="R285" s="111"/>
      <c r="S285" s="111"/>
      <c r="T285" s="163"/>
      <c r="U285" s="38"/>
      <c r="V285" s="38"/>
      <c r="W285" s="38"/>
      <c r="X285" s="29"/>
      <c r="Y285" s="38"/>
      <c r="Z285" s="38"/>
      <c r="AA285" s="38"/>
      <c r="AB285" s="38"/>
      <c r="AC285" s="38"/>
      <c r="AD285" s="38"/>
      <c r="AE285" s="38"/>
      <c r="AF285" s="38"/>
      <c r="AG285" s="38"/>
      <c r="AH285" s="38"/>
      <c r="AI285" s="38"/>
      <c r="AJ285" s="38"/>
      <c r="AK285" s="82"/>
      <c r="AL285" s="82"/>
      <c r="AM285" s="82"/>
      <c r="AN285" s="82"/>
      <c r="AO285" s="82"/>
      <c r="AP285" s="82"/>
      <c r="AQ285" s="82"/>
    </row>
    <row r="286" spans="1:43" s="8" customFormat="1">
      <c r="A286" s="141"/>
      <c r="B286" s="141"/>
      <c r="C286" s="141"/>
      <c r="D286" s="141"/>
      <c r="E286" s="13" t="s">
        <v>49</v>
      </c>
      <c r="F286" s="16" t="str">
        <f>$C$2</f>
        <v xml:space="preserve"> </v>
      </c>
      <c r="G286" s="15"/>
      <c r="H286" s="16"/>
      <c r="I286" s="13" t="s">
        <v>54</v>
      </c>
      <c r="J286" s="16" t="str">
        <f>$G$3</f>
        <v>C</v>
      </c>
      <c r="K286" s="16"/>
      <c r="L286" s="18"/>
      <c r="M286" s="10">
        <v>1</v>
      </c>
      <c r="N286" s="110"/>
      <c r="O286" s="111"/>
      <c r="P286" s="23"/>
      <c r="Q286" s="164"/>
      <c r="R286" s="111"/>
      <c r="S286" s="111"/>
      <c r="T286" s="163"/>
      <c r="U286" s="167"/>
      <c r="V286" s="38"/>
      <c r="W286" s="38"/>
      <c r="X286" s="29"/>
      <c r="Y286" s="38"/>
      <c r="Z286" s="38"/>
      <c r="AA286" s="38"/>
      <c r="AB286" s="38"/>
      <c r="AC286" s="38"/>
      <c r="AD286" s="38"/>
      <c r="AE286" s="38"/>
      <c r="AF286" s="38"/>
      <c r="AG286" s="38"/>
      <c r="AH286" s="38"/>
      <c r="AI286" s="38"/>
      <c r="AJ286" s="38"/>
      <c r="AK286" s="82"/>
      <c r="AL286" s="82"/>
      <c r="AM286" s="82"/>
      <c r="AN286" s="82"/>
      <c r="AO286" s="82"/>
      <c r="AP286" s="82"/>
      <c r="AQ286" s="82"/>
    </row>
    <row r="287" spans="1:43" s="8" customFormat="1">
      <c r="A287" s="141"/>
      <c r="B287" s="141"/>
      <c r="C287" s="141"/>
      <c r="D287" s="141"/>
      <c r="E287" s="13" t="s">
        <v>0</v>
      </c>
      <c r="F287" s="16" t="str">
        <f>$C$3</f>
        <v>Jul-10</v>
      </c>
      <c r="G287" s="15"/>
      <c r="H287" s="16"/>
      <c r="I287" s="13" t="s">
        <v>55</v>
      </c>
      <c r="J287" s="14" t="str">
        <f>L287&amp;" of "&amp;$G$1</f>
        <v>6 of 1</v>
      </c>
      <c r="K287" s="16"/>
      <c r="L287" s="18">
        <f>SUM($M$1:M286)</f>
        <v>6</v>
      </c>
      <c r="M287" s="10"/>
      <c r="N287" s="110"/>
      <c r="O287" s="111"/>
      <c r="P287" s="23"/>
      <c r="Q287" s="164"/>
      <c r="R287" s="111"/>
      <c r="S287" s="111"/>
      <c r="T287" s="163"/>
      <c r="U287" s="167"/>
      <c r="V287" s="38"/>
      <c r="W287" s="38"/>
      <c r="X287" s="34"/>
      <c r="Y287" s="38"/>
      <c r="Z287" s="38"/>
      <c r="AA287" s="38"/>
      <c r="AB287" s="38"/>
      <c r="AC287" s="38"/>
      <c r="AD287" s="38"/>
      <c r="AE287" s="38"/>
      <c r="AF287" s="38"/>
      <c r="AG287" s="38"/>
      <c r="AH287" s="38"/>
      <c r="AI287" s="38"/>
      <c r="AJ287" s="38"/>
      <c r="AK287" s="82"/>
      <c r="AL287" s="82"/>
      <c r="AM287" s="82"/>
      <c r="AN287" s="82"/>
      <c r="AO287" s="82"/>
      <c r="AP287" s="82"/>
      <c r="AQ287" s="82"/>
    </row>
    <row r="288" spans="1:43" s="8" customFormat="1">
      <c r="A288" s="3"/>
      <c r="B288" s="3"/>
      <c r="C288" s="3"/>
      <c r="D288" s="3"/>
      <c r="E288" s="142" t="s">
        <v>291</v>
      </c>
      <c r="F288" s="147" t="str">
        <f>$C$5</f>
        <v>STANDARD SPREADSHEET METHOD</v>
      </c>
      <c r="G288" s="15"/>
      <c r="H288" s="15"/>
      <c r="I288" s="15"/>
      <c r="J288" s="15"/>
      <c r="K288" s="15"/>
      <c r="L288" s="18"/>
      <c r="M288" s="10"/>
      <c r="N288" s="110"/>
      <c r="O288" s="111"/>
      <c r="P288" s="23"/>
      <c r="Q288" s="164"/>
      <c r="R288" s="111"/>
      <c r="S288" s="111"/>
      <c r="T288" s="163"/>
      <c r="U288" s="167"/>
      <c r="V288" s="38"/>
      <c r="W288" s="38"/>
      <c r="X288" s="34"/>
      <c r="Y288" s="38"/>
      <c r="Z288" s="38"/>
      <c r="AA288" s="38"/>
      <c r="AB288" s="38"/>
      <c r="AC288" s="38"/>
      <c r="AD288" s="38"/>
      <c r="AE288" s="38"/>
      <c r="AF288" s="38"/>
      <c r="AG288" s="38"/>
      <c r="AH288" s="38"/>
      <c r="AI288" s="38"/>
      <c r="AJ288" s="38"/>
      <c r="AK288" s="82"/>
      <c r="AL288" s="82"/>
      <c r="AM288" s="82"/>
      <c r="AN288" s="82"/>
      <c r="AO288" s="82"/>
      <c r="AP288" s="82"/>
      <c r="AQ288" s="82"/>
    </row>
    <row r="289" spans="1:43" s="8" customFormat="1" ht="15.6">
      <c r="A289" s="34"/>
      <c r="B289" s="26" t="str">
        <f>$G$4</f>
        <v>ALUMINUM MATERIAL DATA</v>
      </c>
      <c r="C289" s="38"/>
      <c r="D289" s="38"/>
      <c r="E289" s="38"/>
      <c r="F289" s="38"/>
      <c r="G289" s="38"/>
      <c r="H289" s="38"/>
      <c r="I289" s="23"/>
      <c r="J289" s="23"/>
      <c r="K289" s="23"/>
      <c r="L289" s="23"/>
      <c r="M289" s="111"/>
      <c r="N289" s="110"/>
      <c r="O289" s="111"/>
      <c r="P289" s="23"/>
      <c r="Q289" s="164"/>
      <c r="R289" s="111"/>
      <c r="S289" s="111"/>
      <c r="T289" s="163"/>
      <c r="U289" s="167"/>
      <c r="V289" s="38"/>
      <c r="W289" s="38"/>
      <c r="X289" s="34"/>
      <c r="Y289" s="38"/>
      <c r="Z289" s="38"/>
      <c r="AA289" s="38"/>
      <c r="AB289" s="38"/>
      <c r="AC289" s="38"/>
      <c r="AD289" s="38"/>
      <c r="AE289" s="38"/>
      <c r="AF289" s="38"/>
      <c r="AG289" s="38"/>
      <c r="AH289" s="38"/>
      <c r="AI289" s="38"/>
      <c r="AJ289" s="38"/>
      <c r="AK289" s="82"/>
      <c r="AL289" s="82"/>
      <c r="AM289" s="82"/>
      <c r="AN289" s="82"/>
      <c r="AO289" s="82"/>
      <c r="AP289" s="82"/>
      <c r="AQ289" s="82"/>
    </row>
    <row r="290" spans="1:43" s="8" customFormat="1">
      <c r="A290" s="25"/>
      <c r="B290" s="225" t="s">
        <v>296</v>
      </c>
      <c r="C290" s="225"/>
      <c r="L290" s="23"/>
      <c r="M290" s="111"/>
      <c r="N290" s="110"/>
      <c r="O290" s="111"/>
      <c r="P290" s="23"/>
      <c r="Q290" s="164"/>
      <c r="R290" s="111"/>
      <c r="S290" s="111"/>
      <c r="T290" s="163"/>
      <c r="U290" s="38"/>
      <c r="V290" s="38"/>
      <c r="W290" s="38"/>
      <c r="X290" s="34"/>
      <c r="Y290" s="38"/>
      <c r="Z290" s="38"/>
      <c r="AA290" s="38"/>
      <c r="AB290" s="38"/>
      <c r="AC290" s="38"/>
      <c r="AD290" s="38"/>
      <c r="AE290" s="38"/>
      <c r="AF290" s="38"/>
      <c r="AG290" s="38"/>
      <c r="AH290" s="38"/>
      <c r="AI290" s="38"/>
      <c r="AJ290" s="38"/>
      <c r="AK290" s="82"/>
      <c r="AL290" s="82"/>
      <c r="AM290" s="82"/>
      <c r="AN290" s="82"/>
      <c r="AO290" s="82"/>
      <c r="AP290" s="82"/>
      <c r="AQ290" s="82"/>
    </row>
    <row r="291" spans="1:43" s="8" customFormat="1">
      <c r="A291" s="38"/>
      <c r="B291" s="113" t="str">
        <f>B179</f>
        <v xml:space="preserve">Material Properties for </v>
      </c>
      <c r="C291" s="38"/>
      <c r="D291" s="38"/>
      <c r="E291" s="38"/>
      <c r="F291" s="38"/>
      <c r="G291" s="38"/>
      <c r="H291" s="38"/>
      <c r="I291" s="23"/>
      <c r="J291" s="23"/>
      <c r="K291" s="23"/>
      <c r="L291" s="129"/>
      <c r="M291" s="111"/>
      <c r="N291" s="110"/>
      <c r="O291" s="111"/>
      <c r="P291" s="23"/>
      <c r="Q291" s="164"/>
      <c r="R291" s="111"/>
      <c r="S291" s="111"/>
      <c r="T291" s="163"/>
      <c r="U291" s="38"/>
      <c r="V291" s="38"/>
      <c r="W291" s="38"/>
      <c r="X291" s="34"/>
      <c r="Y291" s="38"/>
      <c r="Z291" s="38"/>
      <c r="AA291" s="38"/>
      <c r="AB291" s="38"/>
      <c r="AC291" s="38"/>
      <c r="AD291" s="38"/>
      <c r="AE291" s="38"/>
      <c r="AF291" s="38"/>
      <c r="AG291" s="38"/>
      <c r="AH291" s="38"/>
      <c r="AI291" s="38"/>
      <c r="AJ291" s="38"/>
      <c r="AK291" s="82"/>
      <c r="AL291" s="82"/>
      <c r="AM291" s="82"/>
      <c r="AN291" s="82"/>
      <c r="AO291" s="82"/>
      <c r="AP291" s="82"/>
      <c r="AQ291" s="82"/>
    </row>
    <row r="292" spans="1:43" s="8" customFormat="1">
      <c r="A292" s="38"/>
      <c r="B292" s="113" t="str">
        <f>B236&amp;" (continued)"</f>
        <v>Plastic Correction for Compressive Plate Buckling (continued)</v>
      </c>
      <c r="C292" s="117"/>
      <c r="D292" s="118"/>
      <c r="E292" s="117"/>
      <c r="F292" s="117"/>
      <c r="G292" s="117"/>
      <c r="H292" s="117"/>
      <c r="I292" s="129"/>
      <c r="J292" s="23"/>
      <c r="K292" s="23"/>
      <c r="L292" s="129"/>
      <c r="M292" s="111"/>
      <c r="N292" s="110"/>
      <c r="O292" s="111"/>
      <c r="P292" s="23"/>
      <c r="Q292" s="164"/>
      <c r="R292" s="111"/>
      <c r="S292" s="111"/>
      <c r="T292" s="163"/>
      <c r="U292" s="38"/>
      <c r="V292" s="38"/>
      <c r="W292" s="38"/>
      <c r="X292" s="38"/>
      <c r="Y292" s="38"/>
      <c r="Z292" s="38"/>
      <c r="AA292" s="38"/>
      <c r="AB292" s="38"/>
      <c r="AC292" s="38"/>
      <c r="AD292" s="38"/>
      <c r="AE292" s="38"/>
      <c r="AF292" s="38"/>
      <c r="AG292" s="38"/>
      <c r="AH292" s="38"/>
      <c r="AI292" s="38"/>
      <c r="AJ292" s="38"/>
      <c r="AK292" s="82"/>
      <c r="AL292" s="82"/>
      <c r="AM292" s="82"/>
      <c r="AN292" s="82"/>
      <c r="AO292" s="82"/>
      <c r="AP292" s="82"/>
      <c r="AQ292" s="82"/>
    </row>
    <row r="293" spans="1:43" s="8" customFormat="1">
      <c r="A293" s="38"/>
      <c r="B293" s="215" t="s">
        <v>298</v>
      </c>
      <c r="C293" s="27"/>
      <c r="D293" s="27" t="s">
        <v>299</v>
      </c>
      <c r="E293" s="117"/>
      <c r="F293" s="117"/>
      <c r="G293" s="117"/>
      <c r="H293" s="117"/>
      <c r="I293" s="129"/>
      <c r="J293" s="23"/>
      <c r="K293" s="23"/>
      <c r="L293" s="129"/>
      <c r="M293" s="111"/>
      <c r="N293" s="110"/>
      <c r="O293" s="111"/>
      <c r="P293" s="23"/>
      <c r="Q293" s="164"/>
      <c r="R293" s="111"/>
      <c r="S293" s="111"/>
      <c r="T293" s="163"/>
      <c r="U293" s="38"/>
      <c r="V293" s="38"/>
      <c r="W293" s="38"/>
      <c r="X293" s="38"/>
      <c r="Y293" s="38"/>
      <c r="Z293" s="38"/>
      <c r="AA293" s="38"/>
      <c r="AB293" s="38"/>
      <c r="AC293" s="38"/>
      <c r="AD293" s="38"/>
      <c r="AE293" s="38"/>
      <c r="AF293" s="38"/>
      <c r="AG293" s="38"/>
      <c r="AH293" s="38"/>
      <c r="AI293" s="38"/>
      <c r="AJ293" s="82"/>
      <c r="AK293" s="82"/>
      <c r="AL293" s="82"/>
      <c r="AM293" s="82"/>
      <c r="AN293" s="82"/>
      <c r="AO293" s="82"/>
      <c r="AP293" s="82"/>
      <c r="AQ293" s="82"/>
    </row>
    <row r="294" spans="1:43" s="8" customFormat="1">
      <c r="A294" s="38"/>
      <c r="B294" s="38"/>
      <c r="C294" s="117"/>
      <c r="D294" s="118"/>
      <c r="E294" s="117"/>
      <c r="F294" s="117"/>
      <c r="G294" s="117"/>
      <c r="H294" s="117"/>
      <c r="I294" s="129"/>
      <c r="J294" s="23"/>
      <c r="K294" s="23"/>
      <c r="L294" s="129"/>
      <c r="M294" s="111"/>
      <c r="N294" s="110"/>
      <c r="O294" s="111"/>
      <c r="P294" s="23"/>
      <c r="Q294" s="164"/>
      <c r="R294" s="111"/>
      <c r="S294" s="111"/>
      <c r="T294" s="163"/>
      <c r="U294" s="38"/>
      <c r="V294" s="38"/>
      <c r="W294" s="38"/>
      <c r="X294" s="38"/>
      <c r="Y294" s="38"/>
      <c r="Z294" s="38"/>
      <c r="AA294" s="38"/>
      <c r="AB294" s="38"/>
      <c r="AC294" s="38"/>
      <c r="AD294" s="38"/>
      <c r="AE294" s="38"/>
      <c r="AF294" s="38"/>
      <c r="AG294" s="38"/>
      <c r="AH294" s="38"/>
      <c r="AI294" s="38"/>
      <c r="AJ294" s="82"/>
      <c r="AK294" s="82"/>
      <c r="AL294" s="82"/>
      <c r="AM294" s="82"/>
      <c r="AN294" s="82"/>
      <c r="AO294" s="82"/>
      <c r="AP294" s="82"/>
      <c r="AQ294" s="82"/>
    </row>
    <row r="295" spans="1:43" s="8" customFormat="1">
      <c r="A295" s="38"/>
      <c r="B295" s="38"/>
      <c r="C295" s="117"/>
      <c r="D295" s="118"/>
      <c r="E295" s="117"/>
      <c r="F295" s="117"/>
      <c r="G295" s="117"/>
      <c r="H295" s="117"/>
      <c r="I295" s="129"/>
      <c r="J295" s="23"/>
      <c r="K295" s="23"/>
      <c r="L295" s="129"/>
      <c r="M295" s="111"/>
      <c r="N295" s="110"/>
      <c r="O295" s="111"/>
      <c r="P295" s="23"/>
      <c r="Q295" s="164"/>
      <c r="R295" s="111"/>
      <c r="S295" s="111"/>
      <c r="T295" s="163"/>
      <c r="U295" s="38"/>
      <c r="V295" s="38"/>
      <c r="W295" s="38"/>
      <c r="X295" s="38"/>
      <c r="Y295" s="38"/>
      <c r="Z295" s="38"/>
      <c r="AA295" s="38"/>
      <c r="AB295" s="38"/>
      <c r="AC295" s="38"/>
      <c r="AD295" s="38"/>
      <c r="AE295" s="38"/>
      <c r="AF295" s="38"/>
      <c r="AG295" s="38"/>
      <c r="AH295" s="38"/>
      <c r="AI295" s="38"/>
      <c r="AJ295" s="82"/>
      <c r="AK295" s="82"/>
      <c r="AL295" s="82"/>
      <c r="AM295" s="82"/>
      <c r="AN295" s="82"/>
      <c r="AO295" s="82"/>
      <c r="AP295" s="82"/>
      <c r="AQ295" s="82"/>
    </row>
    <row r="296" spans="1:43" s="8" customFormat="1">
      <c r="A296" s="38"/>
      <c r="B296" s="38"/>
      <c r="C296" s="117"/>
      <c r="D296" s="118"/>
      <c r="E296" s="117"/>
      <c r="F296" s="117"/>
      <c r="G296" s="117"/>
      <c r="H296" s="117"/>
      <c r="I296" s="129"/>
      <c r="J296" s="23"/>
      <c r="K296" s="23"/>
      <c r="L296" s="129"/>
      <c r="M296" s="111"/>
      <c r="N296" s="110"/>
      <c r="O296" s="111"/>
      <c r="P296" s="23"/>
      <c r="Q296" s="164"/>
      <c r="R296" s="111"/>
      <c r="S296" s="111"/>
      <c r="T296" s="163"/>
      <c r="U296" s="38"/>
      <c r="V296" s="38"/>
      <c r="W296" s="38"/>
      <c r="X296" s="38"/>
      <c r="Y296" s="38"/>
      <c r="Z296" s="38"/>
      <c r="AA296" s="38"/>
      <c r="AB296" s="38"/>
      <c r="AC296" s="38"/>
      <c r="AD296" s="38"/>
      <c r="AE296" s="38"/>
      <c r="AF296" s="38"/>
      <c r="AG296" s="38"/>
      <c r="AH296" s="38"/>
      <c r="AI296" s="38"/>
      <c r="AJ296" s="82"/>
      <c r="AK296" s="82"/>
      <c r="AL296" s="82"/>
      <c r="AM296" s="82"/>
      <c r="AN296" s="82"/>
      <c r="AO296" s="82"/>
      <c r="AP296" s="82"/>
      <c r="AQ296" s="82"/>
    </row>
    <row r="297" spans="1:43" s="8" customFormat="1">
      <c r="A297" s="38"/>
      <c r="B297" s="38"/>
      <c r="C297" s="117"/>
      <c r="D297" s="118"/>
      <c r="E297" s="117"/>
      <c r="F297" s="117"/>
      <c r="G297" s="117"/>
      <c r="H297" s="117"/>
      <c r="I297" s="129"/>
      <c r="J297" s="23"/>
      <c r="K297" s="23"/>
      <c r="L297" s="129"/>
      <c r="M297" s="111"/>
      <c r="N297" s="110"/>
      <c r="O297" s="111"/>
      <c r="P297" s="23"/>
      <c r="Q297" s="164"/>
      <c r="R297" s="111"/>
      <c r="S297" s="111"/>
      <c r="T297" s="163"/>
      <c r="U297" s="38"/>
      <c r="V297" s="38"/>
      <c r="W297" s="38"/>
      <c r="X297" s="38"/>
      <c r="Y297" s="38"/>
      <c r="Z297" s="38"/>
      <c r="AA297" s="38"/>
      <c r="AB297" s="38"/>
      <c r="AC297" s="38"/>
      <c r="AD297" s="38"/>
      <c r="AE297" s="38"/>
      <c r="AF297" s="38"/>
      <c r="AG297" s="38"/>
      <c r="AH297" s="38"/>
      <c r="AI297" s="38"/>
      <c r="AJ297" s="82"/>
      <c r="AK297" s="82"/>
      <c r="AL297" s="82"/>
      <c r="AM297" s="82"/>
      <c r="AN297" s="82"/>
      <c r="AO297" s="82"/>
      <c r="AP297" s="82"/>
      <c r="AQ297" s="82"/>
    </row>
    <row r="298" spans="1:43">
      <c r="A298" s="38"/>
      <c r="B298" s="38"/>
      <c r="C298" s="117"/>
      <c r="D298" s="118"/>
      <c r="E298" s="117"/>
      <c r="F298" s="117"/>
      <c r="G298" s="117"/>
      <c r="H298" s="117"/>
      <c r="I298" s="129"/>
      <c r="J298" s="19"/>
      <c r="K298" s="19"/>
      <c r="L298" s="129"/>
      <c r="M298" s="111"/>
      <c r="N298" s="110"/>
      <c r="O298" s="111"/>
      <c r="P298" s="23"/>
      <c r="Q298" s="164"/>
      <c r="T298" s="62"/>
      <c r="U298" s="27"/>
      <c r="V298" s="27"/>
      <c r="W298" s="27"/>
      <c r="X298" s="27"/>
      <c r="Y298" s="27"/>
      <c r="Z298" s="27"/>
      <c r="AA298" s="27"/>
      <c r="AB298" s="27"/>
      <c r="AC298" s="27"/>
      <c r="AD298" s="27"/>
      <c r="AE298" s="27"/>
      <c r="AF298" s="27"/>
      <c r="AG298" s="27"/>
      <c r="AH298" s="38"/>
      <c r="AI298" s="38"/>
      <c r="AJ298" s="30"/>
      <c r="AK298" s="30"/>
      <c r="AL298" s="30"/>
      <c r="AM298" s="30"/>
      <c r="AN298" s="30"/>
      <c r="AO298" s="30"/>
      <c r="AP298" s="30"/>
      <c r="AQ298" s="30"/>
    </row>
    <row r="299" spans="1:43">
      <c r="A299" s="38"/>
      <c r="B299" s="38"/>
      <c r="C299" s="117"/>
      <c r="D299" s="118"/>
      <c r="E299" s="117"/>
      <c r="F299" s="117"/>
      <c r="G299" s="117"/>
      <c r="H299" s="117"/>
      <c r="I299" s="129"/>
      <c r="J299" s="19"/>
      <c r="K299" s="19"/>
      <c r="L299" s="129"/>
      <c r="M299" s="111"/>
      <c r="N299" s="110"/>
      <c r="O299" s="111"/>
      <c r="P299" s="23"/>
      <c r="Q299" s="164"/>
      <c r="T299" s="62"/>
      <c r="U299" s="27"/>
      <c r="V299" s="27"/>
      <c r="W299" s="27"/>
      <c r="X299" s="27"/>
      <c r="Y299" s="27"/>
      <c r="Z299" s="27"/>
      <c r="AA299" s="27"/>
      <c r="AB299" s="27"/>
      <c r="AC299" s="27"/>
      <c r="AD299" s="27"/>
      <c r="AE299" s="27"/>
      <c r="AF299" s="27"/>
      <c r="AG299" s="27"/>
      <c r="AH299" s="38"/>
      <c r="AI299" s="38"/>
      <c r="AJ299" s="30"/>
      <c r="AK299" s="30"/>
      <c r="AL299" s="30"/>
      <c r="AM299" s="30"/>
      <c r="AN299" s="30"/>
      <c r="AO299" s="30"/>
      <c r="AP299" s="30"/>
      <c r="AQ299" s="30"/>
    </row>
    <row r="300" spans="1:43">
      <c r="A300" s="27"/>
      <c r="B300" s="38"/>
      <c r="C300" s="117"/>
      <c r="D300" s="118"/>
      <c r="E300" s="117"/>
      <c r="F300" s="117"/>
      <c r="G300" s="117"/>
      <c r="H300" s="117"/>
      <c r="I300" s="129"/>
      <c r="J300" s="19"/>
      <c r="K300" s="19"/>
      <c r="L300" s="129"/>
      <c r="M300" s="91"/>
      <c r="N300" s="110"/>
      <c r="O300" s="111"/>
      <c r="P300" s="23"/>
      <c r="Q300" s="164"/>
      <c r="T300" s="62"/>
      <c r="U300" s="27"/>
      <c r="V300" s="27"/>
      <c r="W300" s="27"/>
      <c r="X300" s="27"/>
      <c r="Y300" s="27"/>
      <c r="Z300" s="27"/>
      <c r="AA300" s="27"/>
      <c r="AB300" s="27"/>
      <c r="AC300" s="27"/>
      <c r="AD300" s="27"/>
      <c r="AE300" s="27"/>
      <c r="AF300" s="27"/>
      <c r="AG300" s="27"/>
      <c r="AH300" s="38"/>
      <c r="AI300" s="38"/>
      <c r="AJ300" s="30"/>
      <c r="AK300" s="30"/>
      <c r="AL300" s="30"/>
      <c r="AM300" s="30"/>
      <c r="AN300" s="30"/>
      <c r="AO300" s="30"/>
      <c r="AP300" s="30"/>
      <c r="AQ300" s="30"/>
    </row>
    <row r="301" spans="1:43">
      <c r="A301" s="27"/>
      <c r="B301" s="38"/>
      <c r="C301" s="117"/>
      <c r="D301" s="118"/>
      <c r="E301" s="117"/>
      <c r="F301" s="117"/>
      <c r="G301" s="117"/>
      <c r="H301" s="117"/>
      <c r="I301" s="129"/>
      <c r="J301" s="19"/>
      <c r="K301" s="19"/>
      <c r="L301" s="129"/>
      <c r="M301" s="91"/>
      <c r="N301" s="110"/>
      <c r="O301" s="111"/>
      <c r="P301" s="23"/>
      <c r="Q301" s="164"/>
      <c r="T301" s="62"/>
      <c r="U301" s="27"/>
      <c r="V301" s="27"/>
      <c r="W301" s="27"/>
      <c r="X301" s="27"/>
      <c r="Y301" s="27"/>
      <c r="Z301" s="27"/>
      <c r="AA301" s="27"/>
      <c r="AB301" s="27"/>
      <c r="AC301" s="27"/>
      <c r="AD301" s="27"/>
      <c r="AE301" s="27"/>
      <c r="AF301" s="27"/>
      <c r="AG301" s="27"/>
      <c r="AH301" s="38"/>
      <c r="AI301" s="38"/>
      <c r="AJ301" s="30"/>
      <c r="AK301" s="30"/>
      <c r="AL301" s="30"/>
      <c r="AM301" s="30"/>
      <c r="AN301" s="30"/>
      <c r="AO301" s="30"/>
      <c r="AP301" s="30"/>
      <c r="AQ301" s="30"/>
    </row>
    <row r="302" spans="1:43">
      <c r="A302" s="27"/>
      <c r="B302" s="27"/>
      <c r="C302" s="27"/>
      <c r="D302" s="38"/>
      <c r="E302" s="27"/>
      <c r="F302" s="27"/>
      <c r="G302" s="27"/>
      <c r="H302" s="27"/>
      <c r="I302" s="19"/>
      <c r="J302" s="19"/>
      <c r="K302" s="19"/>
      <c r="L302" s="19"/>
      <c r="M302" s="160"/>
      <c r="N302" s="110"/>
      <c r="O302" s="111"/>
      <c r="P302" s="23"/>
      <c r="Q302" s="164"/>
      <c r="T302" s="62"/>
      <c r="U302" s="27"/>
      <c r="V302" s="27"/>
      <c r="W302" s="27"/>
      <c r="X302" s="27"/>
      <c r="Y302" s="27"/>
      <c r="Z302" s="27"/>
      <c r="AA302" s="27"/>
      <c r="AB302" s="27"/>
      <c r="AC302" s="27"/>
      <c r="AD302" s="27"/>
      <c r="AE302" s="27"/>
      <c r="AF302" s="27"/>
      <c r="AG302" s="27"/>
      <c r="AH302" s="38"/>
      <c r="AI302" s="38"/>
      <c r="AJ302" s="30"/>
      <c r="AK302" s="30"/>
      <c r="AL302" s="30"/>
      <c r="AM302" s="30"/>
      <c r="AN302" s="30"/>
      <c r="AO302" s="30"/>
      <c r="AP302" s="30"/>
      <c r="AQ302" s="30"/>
    </row>
    <row r="303" spans="1:43">
      <c r="A303" s="27"/>
      <c r="B303" s="27"/>
      <c r="C303" s="130"/>
      <c r="D303" s="131"/>
      <c r="E303" s="27"/>
      <c r="F303" s="27"/>
      <c r="G303" s="27"/>
      <c r="H303" s="27"/>
      <c r="I303" s="19"/>
      <c r="J303" s="19"/>
      <c r="K303" s="19"/>
      <c r="L303" s="19"/>
      <c r="M303" s="160"/>
      <c r="N303" s="110"/>
      <c r="O303" s="111"/>
      <c r="P303" s="23"/>
      <c r="Q303" s="164"/>
      <c r="T303" s="62"/>
      <c r="U303" s="27"/>
      <c r="V303" s="27"/>
      <c r="W303" s="27"/>
      <c r="X303" s="27"/>
      <c r="Y303" s="27"/>
      <c r="Z303" s="27"/>
      <c r="AA303" s="27"/>
      <c r="AB303" s="27"/>
      <c r="AC303" s="27"/>
      <c r="AD303" s="27"/>
      <c r="AE303" s="27"/>
      <c r="AF303" s="27"/>
      <c r="AG303" s="27"/>
      <c r="AH303" s="38"/>
      <c r="AI303" s="38"/>
      <c r="AJ303" s="30"/>
      <c r="AK303" s="30"/>
      <c r="AL303" s="30"/>
      <c r="AM303" s="30"/>
      <c r="AN303" s="30"/>
      <c r="AO303" s="30"/>
      <c r="AP303" s="30"/>
      <c r="AQ303" s="30"/>
    </row>
    <row r="304" spans="1:43">
      <c r="A304" s="27"/>
      <c r="B304" s="27"/>
      <c r="C304" s="27"/>
      <c r="D304" s="27"/>
      <c r="E304" s="27"/>
      <c r="F304" s="27"/>
      <c r="G304" s="27"/>
      <c r="H304" s="27"/>
      <c r="I304" s="19"/>
      <c r="J304" s="19"/>
      <c r="K304" s="19"/>
      <c r="L304" s="19"/>
      <c r="M304" s="91"/>
      <c r="N304" s="110"/>
      <c r="O304" s="111"/>
      <c r="P304" s="23"/>
      <c r="Q304" s="164"/>
      <c r="T304" s="62"/>
      <c r="U304" s="27"/>
      <c r="V304" s="27"/>
      <c r="W304" s="27"/>
      <c r="X304" s="27"/>
      <c r="Y304" s="27"/>
      <c r="Z304" s="27"/>
      <c r="AA304" s="27"/>
      <c r="AB304" s="27"/>
      <c r="AC304" s="27"/>
      <c r="AD304" s="27"/>
      <c r="AE304" s="27"/>
      <c r="AF304" s="27"/>
      <c r="AG304" s="27"/>
      <c r="AH304" s="38"/>
      <c r="AI304" s="38"/>
      <c r="AJ304" s="30"/>
      <c r="AK304" s="30"/>
      <c r="AL304" s="30"/>
      <c r="AM304" s="30"/>
      <c r="AN304" s="30"/>
      <c r="AO304" s="30"/>
      <c r="AP304" s="30"/>
      <c r="AQ304" s="30"/>
    </row>
    <row r="305" spans="1:43">
      <c r="A305" s="27"/>
      <c r="B305" s="27"/>
      <c r="C305" s="132"/>
      <c r="D305" s="27"/>
      <c r="E305" s="131"/>
      <c r="F305" s="27"/>
      <c r="G305" s="27"/>
      <c r="H305" s="67"/>
      <c r="I305" s="19"/>
      <c r="J305" s="19"/>
      <c r="K305" s="19"/>
      <c r="L305" s="19"/>
      <c r="M305" s="91"/>
      <c r="N305" s="110"/>
      <c r="O305" s="111"/>
      <c r="P305" s="23"/>
      <c r="Q305" s="164"/>
      <c r="T305" s="62"/>
      <c r="U305" s="27"/>
      <c r="V305" s="27"/>
      <c r="W305" s="27"/>
      <c r="X305" s="27"/>
      <c r="Y305" s="27"/>
      <c r="Z305" s="27"/>
      <c r="AA305" s="27"/>
      <c r="AB305" s="27"/>
      <c r="AC305" s="27"/>
      <c r="AD305" s="27"/>
      <c r="AE305" s="27"/>
      <c r="AF305" s="27"/>
      <c r="AG305" s="27"/>
      <c r="AH305" s="38"/>
      <c r="AI305" s="38"/>
      <c r="AJ305" s="30"/>
      <c r="AK305" s="30"/>
      <c r="AL305" s="30"/>
      <c r="AM305" s="30"/>
      <c r="AN305" s="30"/>
      <c r="AO305" s="30"/>
      <c r="AP305" s="30"/>
      <c r="AQ305" s="30"/>
    </row>
    <row r="306" spans="1:43">
      <c r="A306" s="27"/>
      <c r="B306" s="67"/>
      <c r="C306" s="38"/>
      <c r="D306" s="29"/>
      <c r="E306" s="29"/>
      <c r="F306" s="29"/>
      <c r="G306" s="29"/>
      <c r="H306" s="29"/>
      <c r="I306" s="19"/>
      <c r="J306" s="19"/>
      <c r="K306" s="19"/>
      <c r="L306" s="19"/>
      <c r="M306" s="91"/>
      <c r="N306" s="110"/>
      <c r="O306" s="111"/>
      <c r="P306" s="23"/>
      <c r="Q306" s="164"/>
      <c r="T306" s="62"/>
      <c r="U306" s="27"/>
      <c r="V306" s="27"/>
      <c r="W306" s="27"/>
      <c r="X306" s="27"/>
      <c r="Y306" s="27"/>
      <c r="Z306" s="27"/>
      <c r="AA306" s="27"/>
      <c r="AB306" s="27"/>
      <c r="AC306" s="27"/>
      <c r="AD306" s="27"/>
      <c r="AE306" s="27"/>
      <c r="AF306" s="27"/>
      <c r="AG306" s="27"/>
      <c r="AH306" s="38"/>
      <c r="AI306" s="38"/>
      <c r="AJ306" s="30"/>
      <c r="AK306" s="30"/>
      <c r="AL306" s="30"/>
      <c r="AM306" s="30"/>
      <c r="AN306" s="30"/>
      <c r="AO306" s="30"/>
      <c r="AP306" s="30"/>
      <c r="AQ306" s="30"/>
    </row>
    <row r="307" spans="1:43">
      <c r="A307" s="27"/>
      <c r="B307" s="67"/>
      <c r="C307" s="38"/>
      <c r="D307" s="29"/>
      <c r="E307" s="29"/>
      <c r="F307" s="29"/>
      <c r="G307" s="29"/>
      <c r="H307" s="29"/>
      <c r="I307" s="19"/>
      <c r="J307" s="19"/>
      <c r="K307" s="19"/>
      <c r="L307" s="19"/>
      <c r="M307" s="91"/>
      <c r="N307" s="110"/>
      <c r="O307" s="111"/>
      <c r="P307" s="23"/>
      <c r="Q307" s="164"/>
      <c r="T307" s="62"/>
      <c r="U307" s="27"/>
      <c r="V307" s="27"/>
      <c r="W307" s="27"/>
      <c r="X307" s="27"/>
      <c r="Y307" s="27"/>
      <c r="Z307" s="27"/>
      <c r="AA307" s="27"/>
      <c r="AB307" s="27"/>
      <c r="AC307" s="27"/>
      <c r="AD307" s="27"/>
      <c r="AE307" s="27"/>
      <c r="AF307" s="27"/>
      <c r="AG307" s="27"/>
      <c r="AH307" s="38"/>
      <c r="AI307" s="38"/>
      <c r="AJ307" s="30"/>
      <c r="AK307" s="30"/>
      <c r="AL307" s="30"/>
      <c r="AM307" s="30"/>
      <c r="AN307" s="30"/>
      <c r="AO307" s="30"/>
      <c r="AP307" s="30"/>
      <c r="AQ307" s="30"/>
    </row>
    <row r="308" spans="1:43">
      <c r="A308" s="27"/>
      <c r="B308" s="67"/>
      <c r="C308" s="38"/>
      <c r="D308" s="29"/>
      <c r="E308" s="29"/>
      <c r="F308" s="29"/>
      <c r="G308" s="29"/>
      <c r="H308" s="29"/>
      <c r="I308" s="19"/>
      <c r="J308" s="19"/>
      <c r="K308" s="19"/>
      <c r="L308" s="19"/>
      <c r="M308" s="91"/>
      <c r="N308" s="110"/>
      <c r="O308" s="111"/>
      <c r="P308" s="23"/>
      <c r="Q308" s="164"/>
      <c r="T308" s="62"/>
      <c r="U308" s="27"/>
      <c r="V308" s="27"/>
      <c r="W308" s="27"/>
      <c r="X308" s="27"/>
      <c r="Y308" s="27"/>
      <c r="Z308" s="27"/>
      <c r="AA308" s="27"/>
      <c r="AB308" s="27"/>
      <c r="AC308" s="27"/>
      <c r="AD308" s="27"/>
      <c r="AE308" s="27"/>
      <c r="AF308" s="27"/>
      <c r="AG308" s="27"/>
      <c r="AH308" s="38"/>
      <c r="AI308" s="38"/>
      <c r="AJ308" s="30"/>
      <c r="AK308" s="30"/>
      <c r="AL308" s="30"/>
      <c r="AM308" s="30"/>
      <c r="AN308" s="30"/>
      <c r="AO308" s="30"/>
      <c r="AP308" s="30"/>
      <c r="AQ308" s="30"/>
    </row>
    <row r="309" spans="1:43">
      <c r="A309" s="27"/>
      <c r="B309" s="67"/>
      <c r="C309" s="38"/>
      <c r="D309" s="29"/>
      <c r="E309" s="29"/>
      <c r="F309" s="29"/>
      <c r="G309" s="29"/>
      <c r="H309" s="29"/>
      <c r="I309" s="19"/>
      <c r="J309" s="19"/>
      <c r="K309" s="19"/>
      <c r="L309" s="19"/>
      <c r="M309" s="91"/>
      <c r="N309" s="110"/>
      <c r="O309" s="111"/>
      <c r="P309" s="23"/>
      <c r="Q309" s="164"/>
      <c r="T309" s="62"/>
      <c r="U309" s="27"/>
      <c r="V309" s="27"/>
      <c r="W309" s="27"/>
      <c r="X309" s="27"/>
      <c r="Y309" s="27"/>
      <c r="Z309" s="27"/>
      <c r="AA309" s="27"/>
      <c r="AB309" s="27"/>
      <c r="AC309" s="27"/>
      <c r="AD309" s="27"/>
      <c r="AE309" s="27"/>
      <c r="AF309" s="27"/>
      <c r="AG309" s="27"/>
      <c r="AH309" s="38"/>
      <c r="AI309" s="38"/>
      <c r="AJ309" s="30"/>
      <c r="AK309" s="30"/>
      <c r="AL309" s="30"/>
      <c r="AM309" s="30"/>
      <c r="AN309" s="30"/>
      <c r="AO309" s="30"/>
      <c r="AP309" s="30"/>
      <c r="AQ309" s="30"/>
    </row>
    <row r="310" spans="1:43">
      <c r="A310" s="27"/>
      <c r="B310" s="67"/>
      <c r="C310" s="38"/>
      <c r="D310" s="29"/>
      <c r="E310" s="29"/>
      <c r="F310" s="29"/>
      <c r="G310" s="29"/>
      <c r="H310" s="29"/>
      <c r="I310" s="19"/>
      <c r="J310" s="19"/>
      <c r="K310" s="19"/>
      <c r="L310" s="19"/>
      <c r="M310" s="91"/>
      <c r="N310" s="110"/>
      <c r="O310" s="111"/>
      <c r="P310" s="23"/>
      <c r="Q310" s="164"/>
      <c r="T310" s="62"/>
      <c r="U310" s="27"/>
      <c r="V310" s="27"/>
      <c r="W310" s="27"/>
      <c r="X310" s="27"/>
      <c r="Y310" s="27"/>
      <c r="Z310" s="27"/>
      <c r="AA310" s="27"/>
      <c r="AB310" s="27"/>
      <c r="AC310" s="27"/>
      <c r="AD310" s="27"/>
      <c r="AE310" s="27"/>
      <c r="AF310" s="27"/>
      <c r="AG310" s="27"/>
      <c r="AH310" s="38"/>
      <c r="AI310" s="38"/>
      <c r="AJ310" s="30"/>
      <c r="AK310" s="30"/>
      <c r="AL310" s="30"/>
      <c r="AM310" s="30"/>
      <c r="AN310" s="30"/>
      <c r="AO310" s="30"/>
      <c r="AP310" s="30"/>
      <c r="AQ310" s="30"/>
    </row>
    <row r="311" spans="1:43">
      <c r="A311" s="27"/>
      <c r="B311" s="67"/>
      <c r="C311" s="38"/>
      <c r="D311" s="29"/>
      <c r="E311" s="29"/>
      <c r="F311" s="29"/>
      <c r="G311" s="29"/>
      <c r="H311" s="29"/>
      <c r="I311" s="19"/>
      <c r="J311" s="19"/>
      <c r="K311" s="19"/>
      <c r="L311" s="19"/>
      <c r="M311" s="91"/>
      <c r="N311" s="110"/>
      <c r="O311" s="111"/>
      <c r="P311" s="23"/>
      <c r="Q311" s="164"/>
      <c r="T311" s="62"/>
      <c r="U311" s="27"/>
      <c r="V311" s="27"/>
      <c r="W311" s="27"/>
      <c r="X311" s="27"/>
      <c r="Y311" s="27"/>
      <c r="Z311" s="27"/>
      <c r="AA311" s="27"/>
      <c r="AB311" s="27"/>
      <c r="AC311" s="27"/>
      <c r="AD311" s="27"/>
      <c r="AE311" s="27"/>
      <c r="AF311" s="27"/>
      <c r="AG311" s="27"/>
      <c r="AH311" s="38"/>
      <c r="AI311" s="38"/>
      <c r="AJ311" s="30"/>
      <c r="AK311" s="30"/>
      <c r="AL311" s="30"/>
      <c r="AM311" s="30"/>
      <c r="AN311" s="30"/>
      <c r="AO311" s="30"/>
      <c r="AP311" s="30"/>
      <c r="AQ311" s="30"/>
    </row>
    <row r="312" spans="1:43">
      <c r="A312" s="27"/>
      <c r="B312" s="67"/>
      <c r="C312" s="38"/>
      <c r="D312" s="29"/>
      <c r="E312" s="29"/>
      <c r="F312" s="29"/>
      <c r="G312" s="29"/>
      <c r="H312" s="29"/>
      <c r="I312" s="19"/>
      <c r="J312" s="19"/>
      <c r="K312" s="19"/>
      <c r="L312" s="19"/>
      <c r="M312" s="91"/>
      <c r="N312" s="110"/>
      <c r="O312" s="111"/>
      <c r="P312" s="23"/>
      <c r="Q312" s="164"/>
      <c r="T312" s="62"/>
      <c r="U312" s="27"/>
      <c r="V312" s="27"/>
      <c r="W312" s="27"/>
      <c r="X312" s="27"/>
      <c r="Y312" s="27"/>
      <c r="Z312" s="27"/>
      <c r="AA312" s="27"/>
      <c r="AB312" s="27"/>
      <c r="AC312" s="27"/>
      <c r="AD312" s="27"/>
      <c r="AE312" s="27"/>
      <c r="AF312" s="27"/>
      <c r="AG312" s="27"/>
      <c r="AH312" s="38"/>
      <c r="AI312" s="38"/>
      <c r="AJ312" s="30"/>
      <c r="AK312" s="30"/>
      <c r="AL312" s="30"/>
      <c r="AM312" s="30"/>
      <c r="AN312" s="30"/>
      <c r="AO312" s="30"/>
      <c r="AP312" s="30"/>
      <c r="AQ312" s="30"/>
    </row>
    <row r="313" spans="1:43">
      <c r="A313" s="27"/>
      <c r="B313" s="67"/>
      <c r="C313" s="123"/>
      <c r="D313" s="29"/>
      <c r="E313" s="67"/>
      <c r="F313" s="123"/>
      <c r="G313" s="29"/>
      <c r="H313" s="29"/>
      <c r="I313" s="19"/>
      <c r="J313" s="19"/>
      <c r="K313" s="19"/>
      <c r="L313" s="19"/>
      <c r="M313" s="91"/>
      <c r="N313" s="110"/>
      <c r="O313" s="111"/>
      <c r="P313" s="23"/>
      <c r="Q313" s="164"/>
      <c r="T313" s="62"/>
      <c r="U313" s="27"/>
      <c r="V313" s="27"/>
      <c r="W313" s="27"/>
      <c r="X313" s="27"/>
      <c r="Y313" s="27"/>
      <c r="Z313" s="27"/>
      <c r="AA313" s="27"/>
      <c r="AB313" s="27"/>
      <c r="AC313" s="27"/>
      <c r="AD313" s="27"/>
      <c r="AE313" s="27"/>
      <c r="AF313" s="27"/>
      <c r="AG313" s="27"/>
      <c r="AH313" s="38"/>
      <c r="AI313" s="38"/>
      <c r="AJ313" s="30"/>
      <c r="AK313" s="30"/>
      <c r="AL313" s="30"/>
      <c r="AM313" s="30"/>
      <c r="AN313" s="30"/>
      <c r="AO313" s="30"/>
      <c r="AP313" s="30"/>
      <c r="AQ313" s="30"/>
    </row>
    <row r="314" spans="1:43">
      <c r="A314" s="27"/>
      <c r="B314" s="67"/>
      <c r="C314" s="34"/>
      <c r="D314" s="29"/>
      <c r="E314" s="67"/>
      <c r="F314" s="123"/>
      <c r="G314" s="29"/>
      <c r="H314" s="29"/>
      <c r="I314" s="124"/>
      <c r="J314" s="19"/>
      <c r="K314" s="19"/>
      <c r="L314" s="19"/>
      <c r="M314" s="91"/>
      <c r="N314" s="110"/>
      <c r="O314" s="111"/>
      <c r="P314" s="23"/>
      <c r="Q314" s="164"/>
      <c r="T314" s="62"/>
      <c r="U314" s="27"/>
      <c r="V314" s="27"/>
      <c r="W314" s="27"/>
      <c r="X314" s="27"/>
      <c r="Y314" s="27"/>
      <c r="Z314" s="27"/>
      <c r="AA314" s="27"/>
      <c r="AB314" s="27"/>
      <c r="AC314" s="27"/>
      <c r="AD314" s="27"/>
      <c r="AE314" s="27"/>
      <c r="AF314" s="27"/>
      <c r="AG314" s="27"/>
      <c r="AH314" s="38"/>
      <c r="AI314" s="38"/>
      <c r="AJ314" s="30"/>
      <c r="AK314" s="30"/>
      <c r="AL314" s="30"/>
      <c r="AM314" s="30"/>
      <c r="AN314" s="30"/>
      <c r="AO314" s="30"/>
      <c r="AP314" s="30"/>
      <c r="AQ314" s="30"/>
    </row>
    <row r="315" spans="1:43">
      <c r="A315" s="27"/>
      <c r="B315" s="67"/>
      <c r="C315" s="123"/>
      <c r="D315" s="29"/>
      <c r="E315" s="67"/>
      <c r="F315" s="123"/>
      <c r="G315" s="29"/>
      <c r="H315" s="29"/>
      <c r="I315" s="19"/>
      <c r="J315" s="19"/>
      <c r="K315" s="19"/>
      <c r="L315" s="19"/>
      <c r="M315" s="91"/>
      <c r="N315" s="110"/>
      <c r="O315" s="111"/>
      <c r="P315" s="23"/>
      <c r="Q315" s="164"/>
      <c r="T315" s="62"/>
      <c r="U315" s="27"/>
      <c r="V315" s="27"/>
      <c r="W315" s="27"/>
      <c r="X315" s="27"/>
      <c r="Y315" s="27"/>
      <c r="Z315" s="27"/>
      <c r="AA315" s="27"/>
      <c r="AB315" s="27"/>
      <c r="AC315" s="27"/>
      <c r="AD315" s="27"/>
      <c r="AE315" s="27"/>
      <c r="AF315" s="27"/>
      <c r="AG315" s="27"/>
      <c r="AH315" s="38"/>
      <c r="AI315" s="38"/>
      <c r="AJ315" s="30"/>
      <c r="AK315" s="30"/>
      <c r="AL315" s="30"/>
      <c r="AM315" s="30"/>
      <c r="AN315" s="30"/>
      <c r="AO315" s="30"/>
      <c r="AP315" s="30"/>
      <c r="AQ315" s="30"/>
    </row>
    <row r="316" spans="1:43">
      <c r="A316" s="27"/>
      <c r="B316" s="27"/>
      <c r="C316" s="27"/>
      <c r="D316" s="27"/>
      <c r="E316" s="27"/>
      <c r="F316" s="27"/>
      <c r="G316" s="27"/>
      <c r="H316" s="27"/>
      <c r="I316" s="19"/>
      <c r="J316" s="19"/>
      <c r="K316" s="19"/>
      <c r="L316" s="19"/>
      <c r="M316" s="111"/>
      <c r="N316" s="110"/>
      <c r="O316" s="111"/>
      <c r="P316" s="23"/>
      <c r="Q316" s="164"/>
      <c r="T316" s="62"/>
      <c r="U316" s="27"/>
      <c r="V316" s="27"/>
      <c r="W316" s="27"/>
      <c r="X316" s="27"/>
      <c r="Y316" s="27"/>
      <c r="Z316" s="27"/>
      <c r="AA316" s="27"/>
      <c r="AB316" s="27"/>
      <c r="AC316" s="27"/>
      <c r="AD316" s="27"/>
      <c r="AE316" s="27"/>
      <c r="AF316" s="27"/>
      <c r="AG316" s="27"/>
      <c r="AH316" s="38"/>
      <c r="AI316" s="38"/>
      <c r="AJ316" s="30"/>
      <c r="AK316" s="30"/>
      <c r="AL316" s="30"/>
      <c r="AM316" s="30"/>
      <c r="AN316" s="30"/>
      <c r="AO316" s="30"/>
      <c r="AP316" s="30"/>
      <c r="AQ316" s="30"/>
    </row>
    <row r="317" spans="1:43">
      <c r="A317" s="27"/>
      <c r="B317" s="27"/>
      <c r="C317" s="27"/>
      <c r="D317" s="27"/>
      <c r="E317" s="27"/>
      <c r="F317" s="27"/>
      <c r="G317" s="27"/>
      <c r="H317" s="27"/>
      <c r="I317" s="19"/>
      <c r="J317" s="19"/>
      <c r="K317" s="19"/>
      <c r="L317" s="19"/>
      <c r="M317" s="91"/>
      <c r="N317" s="110"/>
      <c r="O317" s="111"/>
      <c r="P317" s="23"/>
      <c r="Q317" s="164"/>
      <c r="T317" s="62"/>
      <c r="U317" s="27"/>
      <c r="V317" s="27"/>
      <c r="W317" s="27"/>
      <c r="X317" s="27"/>
      <c r="Y317" s="27"/>
      <c r="Z317" s="27"/>
      <c r="AA317" s="27"/>
      <c r="AB317" s="27"/>
      <c r="AC317" s="27"/>
      <c r="AD317" s="27"/>
      <c r="AE317" s="27"/>
      <c r="AF317" s="27"/>
      <c r="AG317" s="27"/>
      <c r="AH317" s="38"/>
      <c r="AI317" s="38"/>
      <c r="AJ317" s="30"/>
      <c r="AK317" s="30"/>
      <c r="AL317" s="30"/>
      <c r="AM317" s="30"/>
      <c r="AN317" s="30"/>
      <c r="AO317" s="30"/>
      <c r="AP317" s="30"/>
      <c r="AQ317" s="30"/>
    </row>
    <row r="318" spans="1:43" ht="12.75" customHeight="1">
      <c r="A318" s="27"/>
      <c r="B318" s="125"/>
      <c r="C318" s="222" t="str">
        <f>B236&amp;" - "&amp;V16</f>
        <v>Plastic Correction for Compressive Plate Buckling - 7075-T6 (QQ-A-250/12) - 0.040/0.125in</v>
      </c>
      <c r="D318" s="222"/>
      <c r="E318" s="222"/>
      <c r="F318" s="222"/>
      <c r="G318" s="222"/>
      <c r="H318" s="222"/>
      <c r="I318" s="222"/>
      <c r="J318" s="222"/>
      <c r="K318" s="19"/>
      <c r="L318" s="19"/>
      <c r="M318" s="91"/>
      <c r="N318" s="110"/>
      <c r="O318" s="111"/>
      <c r="P318" s="23"/>
      <c r="Q318" s="164"/>
      <c r="T318" s="62"/>
      <c r="U318" s="27"/>
      <c r="V318" s="27"/>
      <c r="W318" s="27"/>
      <c r="X318" s="27"/>
      <c r="Y318" s="27"/>
      <c r="Z318" s="27"/>
      <c r="AA318" s="27"/>
      <c r="AB318" s="27"/>
      <c r="AC318" s="27"/>
      <c r="AD318" s="27"/>
      <c r="AE318" s="27"/>
      <c r="AF318" s="27"/>
      <c r="AG318" s="27"/>
      <c r="AH318" s="38"/>
      <c r="AI318" s="38"/>
      <c r="AJ318" s="30"/>
      <c r="AK318" s="30"/>
      <c r="AL318" s="30"/>
      <c r="AM318" s="30"/>
      <c r="AN318" s="30"/>
      <c r="AO318" s="30"/>
      <c r="AP318" s="30"/>
      <c r="AQ318" s="30"/>
    </row>
    <row r="319" spans="1:43">
      <c r="A319" s="27"/>
      <c r="B319" s="27"/>
      <c r="C319" s="222"/>
      <c r="D319" s="222"/>
      <c r="E319" s="222"/>
      <c r="F319" s="222"/>
      <c r="G319" s="222"/>
      <c r="H319" s="222"/>
      <c r="I319" s="222"/>
      <c r="J319" s="222"/>
      <c r="K319" s="19"/>
      <c r="L319" s="126"/>
      <c r="M319" s="91"/>
      <c r="N319" s="110"/>
      <c r="O319" s="111"/>
      <c r="P319" s="23"/>
      <c r="Q319" s="164"/>
      <c r="T319" s="62"/>
      <c r="U319" s="27"/>
      <c r="V319" s="27"/>
      <c r="W319" s="27"/>
      <c r="X319" s="27"/>
      <c r="Y319" s="27"/>
      <c r="Z319" s="27"/>
      <c r="AA319" s="27"/>
      <c r="AB319" s="27"/>
      <c r="AC319" s="27"/>
      <c r="AD319" s="27"/>
      <c r="AE319" s="27"/>
      <c r="AF319" s="27"/>
      <c r="AG319" s="27"/>
      <c r="AH319" s="38"/>
      <c r="AI319" s="38"/>
      <c r="AJ319" s="30"/>
      <c r="AK319" s="30"/>
      <c r="AL319" s="30"/>
      <c r="AM319" s="30"/>
      <c r="AN319" s="30"/>
      <c r="AO319" s="30"/>
      <c r="AP319" s="30"/>
      <c r="AQ319" s="30"/>
    </row>
    <row r="320" spans="1:43">
      <c r="A320" s="27"/>
      <c r="B320" s="27"/>
      <c r="C320" s="27"/>
      <c r="D320" s="27"/>
      <c r="E320" s="27"/>
      <c r="F320" s="27"/>
      <c r="G320" s="27"/>
      <c r="H320" s="27"/>
      <c r="I320" s="19"/>
      <c r="J320" s="19"/>
      <c r="K320" s="19"/>
      <c r="L320" s="19"/>
      <c r="M320" s="91"/>
      <c r="N320" s="110"/>
      <c r="O320" s="111"/>
      <c r="P320" s="23"/>
      <c r="Q320" s="164"/>
      <c r="T320" s="62"/>
      <c r="U320" s="27"/>
      <c r="V320" s="27"/>
      <c r="W320" s="27"/>
      <c r="X320" s="27"/>
      <c r="Y320" s="27"/>
      <c r="Z320" s="27"/>
      <c r="AA320" s="27"/>
      <c r="AB320" s="27"/>
      <c r="AC320" s="27"/>
      <c r="AD320" s="27"/>
      <c r="AE320" s="27"/>
      <c r="AF320" s="27"/>
      <c r="AG320" s="27"/>
      <c r="AH320" s="38"/>
      <c r="AI320" s="38"/>
      <c r="AJ320" s="30"/>
      <c r="AK320" s="30"/>
      <c r="AL320" s="30"/>
      <c r="AM320" s="30"/>
      <c r="AN320" s="30"/>
      <c r="AO320" s="30"/>
      <c r="AP320" s="30"/>
      <c r="AQ320" s="30"/>
    </row>
    <row r="321" spans="1:43">
      <c r="A321" s="27"/>
      <c r="B321" s="27"/>
      <c r="C321" s="27"/>
      <c r="D321" s="27"/>
      <c r="E321" s="27"/>
      <c r="F321" s="27"/>
      <c r="G321" s="27"/>
      <c r="H321" s="27"/>
      <c r="I321" s="19"/>
      <c r="J321" s="19"/>
      <c r="K321" s="19"/>
      <c r="L321" s="19"/>
      <c r="M321" s="91"/>
      <c r="N321" s="110"/>
      <c r="O321" s="111"/>
      <c r="P321" s="23"/>
      <c r="Q321" s="164"/>
      <c r="T321" s="62"/>
      <c r="U321" s="27"/>
      <c r="V321" s="27"/>
      <c r="W321" s="27"/>
      <c r="X321" s="27"/>
      <c r="Y321" s="27"/>
      <c r="Z321" s="27"/>
      <c r="AA321" s="27"/>
      <c r="AB321" s="27"/>
      <c r="AC321" s="27"/>
      <c r="AD321" s="27"/>
      <c r="AE321" s="27"/>
      <c r="AF321" s="27"/>
      <c r="AG321" s="27"/>
      <c r="AH321" s="38"/>
      <c r="AI321" s="38"/>
      <c r="AJ321" s="30"/>
      <c r="AK321" s="30"/>
      <c r="AL321" s="30"/>
      <c r="AM321" s="30"/>
      <c r="AN321" s="30"/>
      <c r="AO321" s="30"/>
      <c r="AP321" s="30"/>
      <c r="AQ321" s="30"/>
    </row>
    <row r="322" spans="1:43">
      <c r="A322" s="27"/>
      <c r="B322" s="27"/>
      <c r="C322" s="27"/>
      <c r="D322" s="27"/>
      <c r="E322" s="27"/>
      <c r="F322" s="27"/>
      <c r="G322" s="27"/>
      <c r="H322" s="27"/>
      <c r="I322" s="19"/>
      <c r="J322" s="19"/>
      <c r="K322" s="19"/>
      <c r="L322" s="19"/>
      <c r="M322" s="91"/>
      <c r="N322" s="110"/>
      <c r="O322" s="111"/>
      <c r="P322" s="23"/>
      <c r="Q322" s="164"/>
      <c r="T322" s="62"/>
      <c r="U322" s="27"/>
      <c r="V322" s="27"/>
      <c r="W322" s="27"/>
      <c r="X322" s="27"/>
      <c r="Y322" s="27"/>
      <c r="Z322" s="27"/>
      <c r="AA322" s="27"/>
      <c r="AB322" s="27"/>
      <c r="AC322" s="27"/>
      <c r="AD322" s="27"/>
      <c r="AE322" s="27"/>
      <c r="AF322" s="27"/>
      <c r="AG322" s="27"/>
      <c r="AH322" s="38"/>
      <c r="AI322" s="38"/>
      <c r="AJ322" s="30"/>
      <c r="AK322" s="30"/>
      <c r="AL322" s="30"/>
      <c r="AM322" s="30"/>
      <c r="AN322" s="30"/>
      <c r="AO322" s="30"/>
      <c r="AP322" s="30"/>
      <c r="AQ322" s="30"/>
    </row>
    <row r="323" spans="1:43">
      <c r="A323" s="27"/>
      <c r="B323" s="27"/>
      <c r="C323" s="27"/>
      <c r="D323" s="27"/>
      <c r="E323" s="27"/>
      <c r="F323" s="27"/>
      <c r="G323" s="27"/>
      <c r="H323" s="27"/>
      <c r="I323" s="19"/>
      <c r="J323" s="19"/>
      <c r="K323" s="19"/>
      <c r="L323" s="19"/>
      <c r="M323" s="91"/>
      <c r="N323" s="110"/>
      <c r="O323" s="111"/>
      <c r="P323" s="23"/>
      <c r="Q323" s="164"/>
      <c r="T323" s="62"/>
      <c r="U323" s="27"/>
      <c r="V323" s="27"/>
      <c r="W323" s="27"/>
      <c r="X323" s="27"/>
      <c r="Y323" s="27"/>
      <c r="Z323" s="27"/>
      <c r="AA323" s="27"/>
      <c r="AB323" s="27"/>
      <c r="AC323" s="27"/>
      <c r="AD323" s="27"/>
      <c r="AE323" s="27"/>
      <c r="AF323" s="27"/>
      <c r="AG323" s="27"/>
      <c r="AH323" s="38"/>
      <c r="AI323" s="38"/>
      <c r="AJ323" s="30"/>
      <c r="AK323" s="30"/>
      <c r="AL323" s="30"/>
      <c r="AM323" s="30"/>
      <c r="AN323" s="30"/>
      <c r="AO323" s="30"/>
      <c r="AP323" s="30"/>
      <c r="AQ323" s="30"/>
    </row>
    <row r="324" spans="1:43">
      <c r="A324" s="27"/>
      <c r="B324" s="27"/>
      <c r="C324" s="27"/>
      <c r="D324" s="27"/>
      <c r="E324" s="27"/>
      <c r="F324" s="27"/>
      <c r="G324" s="27"/>
      <c r="H324" s="27"/>
      <c r="I324" s="19"/>
      <c r="J324" s="19"/>
      <c r="K324" s="19"/>
      <c r="L324" s="19"/>
      <c r="M324" s="91"/>
      <c r="N324" s="110"/>
      <c r="O324" s="111"/>
      <c r="P324" s="23"/>
      <c r="Q324" s="164"/>
      <c r="T324" s="62"/>
      <c r="U324" s="27"/>
      <c r="V324" s="27"/>
      <c r="W324" s="27"/>
      <c r="X324" s="27"/>
      <c r="Y324" s="27"/>
      <c r="Z324" s="27"/>
      <c r="AA324" s="27"/>
      <c r="AB324" s="27"/>
      <c r="AC324" s="27"/>
      <c r="AD324" s="27"/>
      <c r="AE324" s="27"/>
      <c r="AF324" s="27"/>
      <c r="AG324" s="27"/>
      <c r="AH324" s="38"/>
      <c r="AI324" s="38"/>
      <c r="AJ324" s="30"/>
      <c r="AK324" s="30"/>
      <c r="AL324" s="30"/>
      <c r="AM324" s="30"/>
      <c r="AN324" s="30"/>
      <c r="AO324" s="30"/>
      <c r="AP324" s="30"/>
      <c r="AQ324" s="30"/>
    </row>
    <row r="325" spans="1:43">
      <c r="A325" s="27"/>
      <c r="B325" s="27"/>
      <c r="C325" s="27"/>
      <c r="D325" s="27"/>
      <c r="E325" s="27"/>
      <c r="F325" s="27"/>
      <c r="G325" s="27"/>
      <c r="H325" s="27"/>
      <c r="I325" s="19"/>
      <c r="J325" s="19"/>
      <c r="K325" s="19"/>
      <c r="L325" s="19"/>
      <c r="M325" s="91"/>
      <c r="N325" s="110"/>
      <c r="O325" s="111"/>
      <c r="P325" s="23"/>
      <c r="Q325" s="164"/>
      <c r="T325" s="62"/>
      <c r="U325" s="27"/>
      <c r="V325" s="27"/>
      <c r="W325" s="27"/>
      <c r="X325" s="27"/>
      <c r="Y325" s="27"/>
      <c r="Z325" s="27"/>
      <c r="AA325" s="27"/>
      <c r="AB325" s="27"/>
      <c r="AC325" s="27"/>
      <c r="AD325" s="27"/>
      <c r="AE325" s="27"/>
      <c r="AF325" s="27"/>
      <c r="AG325" s="27"/>
      <c r="AH325" s="38"/>
      <c r="AI325" s="38"/>
      <c r="AJ325" s="30"/>
      <c r="AK325" s="30"/>
      <c r="AL325" s="30"/>
      <c r="AM325" s="30"/>
      <c r="AN325" s="30"/>
      <c r="AO325" s="30"/>
      <c r="AP325" s="30"/>
      <c r="AQ325" s="30"/>
    </row>
    <row r="326" spans="1:43">
      <c r="A326" s="27"/>
      <c r="B326" s="27"/>
      <c r="C326" s="27"/>
      <c r="D326" s="27"/>
      <c r="E326" s="27"/>
      <c r="F326" s="27"/>
      <c r="G326" s="27"/>
      <c r="H326" s="27"/>
      <c r="I326" s="19"/>
      <c r="J326" s="19"/>
      <c r="K326" s="19"/>
      <c r="L326" s="19"/>
      <c r="M326" s="91"/>
      <c r="N326" s="110"/>
      <c r="O326" s="111"/>
      <c r="P326" s="23"/>
      <c r="Q326" s="164"/>
      <c r="T326" s="62"/>
      <c r="U326" s="27"/>
      <c r="V326" s="27"/>
      <c r="W326" s="27"/>
      <c r="X326" s="27"/>
      <c r="Y326" s="27"/>
      <c r="Z326" s="27"/>
      <c r="AA326" s="27"/>
      <c r="AB326" s="27"/>
      <c r="AC326" s="27"/>
      <c r="AD326" s="27"/>
      <c r="AE326" s="27"/>
      <c r="AF326" s="27"/>
      <c r="AG326" s="27"/>
      <c r="AH326" s="38"/>
      <c r="AI326" s="38"/>
      <c r="AJ326" s="30"/>
      <c r="AK326" s="30"/>
      <c r="AL326" s="30"/>
      <c r="AM326" s="30"/>
      <c r="AN326" s="30"/>
      <c r="AO326" s="30"/>
      <c r="AP326" s="30"/>
      <c r="AQ326" s="30"/>
    </row>
    <row r="327" spans="1:43">
      <c r="A327" s="27"/>
      <c r="B327" s="27"/>
      <c r="C327" s="27"/>
      <c r="D327" s="27"/>
      <c r="E327" s="27"/>
      <c r="F327" s="27"/>
      <c r="G327" s="27"/>
      <c r="H327" s="27"/>
      <c r="I327" s="19"/>
      <c r="J327" s="19"/>
      <c r="K327" s="19"/>
      <c r="L327" s="19"/>
      <c r="M327" s="91"/>
      <c r="N327" s="110"/>
      <c r="O327" s="111"/>
      <c r="P327" s="23"/>
      <c r="Q327" s="164"/>
      <c r="T327" s="62"/>
      <c r="U327" s="27"/>
      <c r="V327" s="27"/>
      <c r="W327" s="27"/>
      <c r="X327" s="27"/>
      <c r="Y327" s="27"/>
      <c r="Z327" s="27"/>
      <c r="AA327" s="27"/>
      <c r="AB327" s="27"/>
      <c r="AC327" s="27"/>
      <c r="AD327" s="27"/>
      <c r="AE327" s="27"/>
      <c r="AF327" s="27"/>
      <c r="AG327" s="27"/>
      <c r="AH327" s="38"/>
      <c r="AI327" s="38"/>
      <c r="AJ327" s="30"/>
      <c r="AK327" s="30"/>
      <c r="AL327" s="30"/>
      <c r="AM327" s="30"/>
      <c r="AN327" s="30"/>
      <c r="AO327" s="30"/>
      <c r="AP327" s="30"/>
      <c r="AQ327" s="30"/>
    </row>
    <row r="328" spans="1:43">
      <c r="A328" s="27"/>
      <c r="B328" s="27"/>
      <c r="C328" s="27"/>
      <c r="D328" s="27"/>
      <c r="E328" s="27"/>
      <c r="F328" s="27"/>
      <c r="G328" s="27"/>
      <c r="H328" s="27"/>
      <c r="I328" s="19"/>
      <c r="J328" s="19"/>
      <c r="K328" s="19"/>
      <c r="L328" s="19"/>
      <c r="M328" s="91"/>
      <c r="N328" s="110"/>
      <c r="O328" s="111"/>
      <c r="P328" s="23"/>
      <c r="Q328" s="164"/>
      <c r="T328" s="62"/>
      <c r="U328" s="27"/>
      <c r="V328" s="27"/>
      <c r="W328" s="27"/>
      <c r="X328" s="27"/>
      <c r="Y328" s="27"/>
      <c r="Z328" s="27"/>
      <c r="AA328" s="27"/>
      <c r="AB328" s="27"/>
      <c r="AC328" s="27"/>
      <c r="AD328" s="27"/>
      <c r="AE328" s="27"/>
      <c r="AF328" s="27"/>
      <c r="AG328" s="27"/>
      <c r="AH328" s="38"/>
      <c r="AI328" s="38"/>
      <c r="AJ328" s="30"/>
      <c r="AK328" s="30"/>
      <c r="AL328" s="30"/>
      <c r="AM328" s="30"/>
      <c r="AN328" s="30"/>
      <c r="AO328" s="30"/>
      <c r="AP328" s="30"/>
      <c r="AQ328" s="30"/>
    </row>
    <row r="329" spans="1:43">
      <c r="A329" s="27"/>
      <c r="B329" s="27"/>
      <c r="C329" s="27"/>
      <c r="D329" s="27"/>
      <c r="E329" s="27"/>
      <c r="F329" s="27"/>
      <c r="G329" s="27"/>
      <c r="H329" s="27"/>
      <c r="I329" s="19"/>
      <c r="J329" s="19"/>
      <c r="K329" s="19"/>
      <c r="L329" s="19"/>
      <c r="M329" s="91"/>
      <c r="N329" s="110"/>
      <c r="O329" s="111"/>
      <c r="P329" s="23"/>
      <c r="Q329" s="164"/>
      <c r="T329" s="62"/>
      <c r="U329" s="27"/>
      <c r="V329" s="27"/>
      <c r="W329" s="27"/>
      <c r="X329" s="27"/>
      <c r="Y329" s="27"/>
      <c r="Z329" s="27"/>
      <c r="AA329" s="27"/>
      <c r="AB329" s="27"/>
      <c r="AC329" s="27"/>
      <c r="AD329" s="27"/>
      <c r="AE329" s="27"/>
      <c r="AF329" s="27"/>
      <c r="AG329" s="27"/>
      <c r="AH329" s="38"/>
      <c r="AI329" s="38"/>
      <c r="AJ329" s="30"/>
      <c r="AK329" s="30"/>
      <c r="AL329" s="30"/>
      <c r="AM329" s="30"/>
      <c r="AN329" s="30"/>
      <c r="AO329" s="30"/>
      <c r="AP329" s="30"/>
      <c r="AQ329" s="30"/>
    </row>
    <row r="330" spans="1:43">
      <c r="A330" s="27"/>
      <c r="B330" s="27"/>
      <c r="C330" s="27"/>
      <c r="D330" s="27"/>
      <c r="E330" s="27"/>
      <c r="F330" s="27"/>
      <c r="G330" s="27"/>
      <c r="H330" s="27"/>
      <c r="I330" s="19"/>
      <c r="J330" s="19"/>
      <c r="K330" s="19"/>
      <c r="L330" s="19"/>
      <c r="M330" s="91"/>
      <c r="N330" s="110"/>
      <c r="O330" s="111"/>
      <c r="P330" s="23"/>
      <c r="Q330" s="164"/>
      <c r="T330" s="62"/>
      <c r="U330" s="27"/>
      <c r="V330" s="27"/>
      <c r="W330" s="27"/>
      <c r="X330" s="27"/>
      <c r="Y330" s="27"/>
      <c r="Z330" s="27"/>
      <c r="AA330" s="27"/>
      <c r="AB330" s="27"/>
      <c r="AC330" s="27"/>
      <c r="AD330" s="27"/>
      <c r="AE330" s="27"/>
      <c r="AF330" s="27"/>
      <c r="AG330" s="27"/>
      <c r="AH330" s="38"/>
      <c r="AI330" s="38"/>
      <c r="AJ330" s="30"/>
      <c r="AK330" s="30"/>
      <c r="AL330" s="30"/>
      <c r="AM330" s="30"/>
      <c r="AN330" s="30"/>
      <c r="AO330" s="30"/>
      <c r="AP330" s="30"/>
      <c r="AQ330" s="30"/>
    </row>
    <row r="331" spans="1:43">
      <c r="A331" s="27"/>
      <c r="B331" s="27"/>
      <c r="C331" s="27"/>
      <c r="D331" s="27"/>
      <c r="E331" s="27"/>
      <c r="F331" s="27"/>
      <c r="G331" s="27"/>
      <c r="H331" s="27"/>
      <c r="I331" s="19"/>
      <c r="J331" s="19"/>
      <c r="K331" s="19"/>
      <c r="L331" s="19"/>
      <c r="M331" s="91"/>
      <c r="N331" s="110"/>
      <c r="O331" s="111"/>
      <c r="P331" s="23"/>
      <c r="Q331" s="164"/>
      <c r="T331" s="62"/>
      <c r="U331" s="27"/>
      <c r="V331" s="27"/>
      <c r="W331" s="27"/>
      <c r="X331" s="27"/>
      <c r="Y331" s="27"/>
      <c r="Z331" s="27"/>
      <c r="AA331" s="27"/>
      <c r="AB331" s="27"/>
      <c r="AC331" s="27"/>
      <c r="AD331" s="27"/>
      <c r="AE331" s="27"/>
      <c r="AF331" s="27"/>
      <c r="AG331" s="27"/>
      <c r="AH331" s="38"/>
      <c r="AI331" s="38"/>
      <c r="AJ331" s="30"/>
      <c r="AK331" s="30"/>
      <c r="AL331" s="30"/>
      <c r="AM331" s="30"/>
      <c r="AN331" s="30"/>
      <c r="AO331" s="30"/>
      <c r="AP331" s="30"/>
      <c r="AQ331" s="30"/>
    </row>
    <row r="332" spans="1:43">
      <c r="A332" s="27"/>
      <c r="B332" s="27"/>
      <c r="C332" s="27"/>
      <c r="D332" s="27"/>
      <c r="E332" s="27"/>
      <c r="F332" s="27"/>
      <c r="G332" s="27"/>
      <c r="H332" s="27"/>
      <c r="I332" s="19"/>
      <c r="J332" s="19"/>
      <c r="K332" s="19"/>
      <c r="L332" s="19"/>
      <c r="M332" s="91"/>
      <c r="N332" s="110"/>
      <c r="O332" s="111"/>
      <c r="P332" s="23"/>
      <c r="Q332" s="164"/>
      <c r="T332" s="62"/>
      <c r="U332" s="27"/>
      <c r="V332" s="27"/>
      <c r="W332" s="27"/>
      <c r="X332" s="27"/>
      <c r="Y332" s="27"/>
      <c r="Z332" s="27"/>
      <c r="AA332" s="27"/>
      <c r="AB332" s="27"/>
      <c r="AC332" s="27"/>
      <c r="AD332" s="27"/>
      <c r="AE332" s="27"/>
      <c r="AF332" s="27"/>
      <c r="AG332" s="27"/>
      <c r="AH332" s="38"/>
      <c r="AI332" s="38"/>
      <c r="AJ332" s="30"/>
      <c r="AK332" s="30"/>
      <c r="AL332" s="30"/>
      <c r="AM332" s="30"/>
      <c r="AN332" s="30"/>
      <c r="AO332" s="30"/>
      <c r="AP332" s="30"/>
      <c r="AQ332" s="30"/>
    </row>
    <row r="333" spans="1:43">
      <c r="A333" s="27"/>
      <c r="B333" s="27"/>
      <c r="C333" s="27"/>
      <c r="D333" s="27"/>
      <c r="E333" s="27"/>
      <c r="F333" s="27"/>
      <c r="G333" s="27"/>
      <c r="H333" s="27"/>
      <c r="I333" s="19"/>
      <c r="J333" s="19"/>
      <c r="K333" s="19"/>
      <c r="L333" s="19"/>
      <c r="M333" s="91"/>
      <c r="N333" s="110"/>
      <c r="O333" s="111"/>
      <c r="P333" s="23"/>
      <c r="Q333" s="164"/>
      <c r="T333" s="62"/>
      <c r="U333" s="27"/>
      <c r="V333" s="27"/>
      <c r="W333" s="27"/>
      <c r="X333" s="27"/>
      <c r="Y333" s="27"/>
      <c r="Z333" s="27"/>
      <c r="AA333" s="27"/>
      <c r="AB333" s="27"/>
      <c r="AC333" s="27"/>
      <c r="AD333" s="27"/>
      <c r="AE333" s="27"/>
      <c r="AF333" s="27"/>
      <c r="AG333" s="27"/>
      <c r="AH333" s="38"/>
      <c r="AI333" s="38"/>
      <c r="AJ333" s="30"/>
      <c r="AK333" s="30"/>
      <c r="AL333" s="30"/>
      <c r="AM333" s="30"/>
      <c r="AN333" s="30"/>
      <c r="AO333" s="30"/>
      <c r="AP333" s="30"/>
      <c r="AQ333" s="30"/>
    </row>
    <row r="334" spans="1:43">
      <c r="A334" s="27"/>
      <c r="B334" s="27"/>
      <c r="C334" s="27"/>
      <c r="D334" s="27"/>
      <c r="E334" s="27"/>
      <c r="F334" s="27"/>
      <c r="G334" s="27"/>
      <c r="H334" s="27"/>
      <c r="I334" s="19"/>
      <c r="J334" s="19"/>
      <c r="K334" s="19"/>
      <c r="L334" s="19"/>
      <c r="M334" s="91"/>
      <c r="N334" s="110"/>
      <c r="O334" s="111"/>
      <c r="P334" s="23"/>
      <c r="Q334" s="164"/>
      <c r="T334" s="62"/>
      <c r="U334" s="27"/>
      <c r="V334" s="27"/>
      <c r="W334" s="27"/>
      <c r="X334" s="27"/>
      <c r="Y334" s="27"/>
      <c r="Z334" s="27"/>
      <c r="AA334" s="27"/>
      <c r="AB334" s="27"/>
      <c r="AC334" s="27"/>
      <c r="AD334" s="27"/>
      <c r="AE334" s="27"/>
      <c r="AF334" s="27"/>
      <c r="AG334" s="27"/>
      <c r="AH334" s="38"/>
      <c r="AI334" s="38"/>
      <c r="AJ334" s="30"/>
      <c r="AK334" s="30"/>
      <c r="AL334" s="30"/>
      <c r="AM334" s="30"/>
      <c r="AN334" s="30"/>
      <c r="AO334" s="30"/>
      <c r="AP334" s="30"/>
      <c r="AQ334" s="30"/>
    </row>
    <row r="335" spans="1:43">
      <c r="A335" s="27"/>
      <c r="B335" s="27"/>
      <c r="C335" s="27"/>
      <c r="D335" s="27"/>
      <c r="E335" s="27"/>
      <c r="F335" s="27"/>
      <c r="G335" s="27"/>
      <c r="H335" s="27"/>
      <c r="I335" s="19"/>
      <c r="J335" s="19"/>
      <c r="K335" s="19"/>
      <c r="L335" s="19"/>
      <c r="M335" s="91"/>
      <c r="N335" s="110"/>
      <c r="O335" s="111"/>
      <c r="P335" s="23"/>
      <c r="Q335" s="164"/>
      <c r="T335" s="62"/>
      <c r="U335" s="27"/>
      <c r="V335" s="27"/>
      <c r="W335" s="27"/>
      <c r="X335" s="27"/>
      <c r="Y335" s="27"/>
      <c r="Z335" s="27"/>
      <c r="AA335" s="27"/>
      <c r="AB335" s="27"/>
      <c r="AC335" s="27"/>
      <c r="AD335" s="27"/>
      <c r="AE335" s="27"/>
      <c r="AF335" s="27"/>
      <c r="AG335" s="27"/>
      <c r="AH335" s="38"/>
      <c r="AI335" s="38"/>
      <c r="AJ335" s="30"/>
      <c r="AK335" s="30"/>
      <c r="AL335" s="30"/>
      <c r="AM335" s="30"/>
      <c r="AN335" s="30"/>
      <c r="AO335" s="30"/>
      <c r="AP335" s="30"/>
      <c r="AQ335" s="30"/>
    </row>
    <row r="336" spans="1:43">
      <c r="A336" s="27"/>
      <c r="B336" s="27"/>
      <c r="C336" s="27"/>
      <c r="D336" s="27"/>
      <c r="E336" s="27"/>
      <c r="F336" s="27"/>
      <c r="G336" s="27"/>
      <c r="H336" s="27"/>
      <c r="I336" s="19"/>
      <c r="J336" s="19"/>
      <c r="K336" s="19"/>
      <c r="L336" s="19"/>
      <c r="M336" s="91"/>
      <c r="N336" s="110"/>
      <c r="O336" s="111"/>
      <c r="P336" s="23"/>
      <c r="Q336" s="164"/>
      <c r="T336" s="62"/>
      <c r="U336" s="27"/>
      <c r="V336" s="27"/>
      <c r="W336" s="27"/>
      <c r="X336" s="27"/>
      <c r="Y336" s="27"/>
      <c r="Z336" s="27"/>
      <c r="AA336" s="27"/>
      <c r="AB336" s="27"/>
      <c r="AC336" s="27"/>
      <c r="AD336" s="27"/>
      <c r="AE336" s="27"/>
      <c r="AF336" s="27"/>
      <c r="AG336" s="27"/>
      <c r="AH336" s="38"/>
      <c r="AI336" s="38"/>
      <c r="AJ336" s="30"/>
      <c r="AK336" s="30"/>
      <c r="AL336" s="30"/>
      <c r="AM336" s="30"/>
      <c r="AN336" s="30"/>
      <c r="AO336" s="30"/>
      <c r="AP336" s="30"/>
      <c r="AQ336" s="30"/>
    </row>
    <row r="337" spans="1:43">
      <c r="A337" s="27"/>
      <c r="B337" s="27"/>
      <c r="C337" s="27"/>
      <c r="D337" s="27"/>
      <c r="E337" s="27"/>
      <c r="F337" s="27"/>
      <c r="G337" s="27"/>
      <c r="H337" s="27"/>
      <c r="I337" s="19"/>
      <c r="J337" s="19"/>
      <c r="K337" s="19"/>
      <c r="L337" s="19"/>
      <c r="M337" s="91"/>
      <c r="N337" s="110"/>
      <c r="O337" s="111"/>
      <c r="P337" s="23"/>
      <c r="Q337" s="164"/>
      <c r="T337" s="62"/>
      <c r="U337" s="27"/>
      <c r="V337" s="27"/>
      <c r="W337" s="27"/>
      <c r="X337" s="27"/>
      <c r="Y337" s="27"/>
      <c r="Z337" s="27"/>
      <c r="AA337" s="27"/>
      <c r="AB337" s="27"/>
      <c r="AC337" s="27"/>
      <c r="AD337" s="27"/>
      <c r="AE337" s="27"/>
      <c r="AF337" s="27"/>
      <c r="AG337" s="27"/>
      <c r="AH337" s="38"/>
      <c r="AI337" s="38"/>
      <c r="AJ337" s="30"/>
      <c r="AK337" s="30"/>
      <c r="AL337" s="30"/>
      <c r="AM337" s="30"/>
      <c r="AN337" s="30"/>
      <c r="AO337" s="30"/>
      <c r="AP337" s="30"/>
      <c r="AQ337" s="30"/>
    </row>
    <row r="338" spans="1:43">
      <c r="A338" s="27"/>
      <c r="B338" s="8"/>
      <c r="C338" s="80"/>
      <c r="D338" s="27"/>
      <c r="E338" s="27"/>
      <c r="F338" s="27"/>
      <c r="G338" s="80"/>
      <c r="H338" s="27"/>
      <c r="I338" s="27"/>
      <c r="J338" s="27"/>
      <c r="K338" s="27"/>
      <c r="L338" s="19"/>
      <c r="M338" s="91"/>
      <c r="N338" s="110"/>
      <c r="O338" s="111"/>
      <c r="P338" s="23"/>
      <c r="Q338" s="164"/>
      <c r="T338" s="62"/>
      <c r="U338" s="27"/>
      <c r="V338" s="27"/>
      <c r="W338" s="27"/>
      <c r="X338" s="27"/>
      <c r="Y338" s="27"/>
      <c r="Z338" s="27"/>
      <c r="AA338" s="27"/>
      <c r="AB338" s="27"/>
      <c r="AC338" s="27"/>
      <c r="AD338" s="27"/>
      <c r="AE338" s="27"/>
      <c r="AF338" s="27"/>
      <c r="AG338" s="27"/>
      <c r="AH338" s="38"/>
      <c r="AI338" s="38"/>
      <c r="AJ338" s="30"/>
      <c r="AK338" s="30"/>
      <c r="AL338" s="30"/>
      <c r="AM338" s="30"/>
      <c r="AN338" s="30"/>
      <c r="AO338" s="30"/>
      <c r="AP338" s="30"/>
      <c r="AQ338" s="30"/>
    </row>
    <row r="339" spans="1:43">
      <c r="A339" s="27"/>
      <c r="B339" s="193"/>
      <c r="C339" s="80"/>
      <c r="D339" s="28"/>
      <c r="E339" s="28"/>
      <c r="F339" s="194" t="s">
        <v>276</v>
      </c>
      <c r="G339" s="80"/>
      <c r="H339" s="28"/>
      <c r="I339" s="28"/>
      <c r="J339" s="28"/>
      <c r="K339" s="27"/>
      <c r="L339" s="19"/>
      <c r="M339" s="91"/>
      <c r="N339" s="110"/>
      <c r="O339" s="111"/>
      <c r="P339" s="23"/>
      <c r="Q339" s="164"/>
      <c r="T339" s="62"/>
      <c r="U339" s="27"/>
      <c r="V339" s="27"/>
      <c r="W339" s="27"/>
      <c r="X339" s="27"/>
      <c r="Y339" s="27"/>
      <c r="Z339" s="27"/>
      <c r="AA339" s="27"/>
      <c r="AB339" s="27"/>
      <c r="AC339" s="27"/>
      <c r="AD339" s="27"/>
      <c r="AE339" s="27"/>
      <c r="AF339" s="27"/>
      <c r="AG339" s="27"/>
      <c r="AH339" s="38"/>
      <c r="AI339" s="38"/>
      <c r="AJ339" s="30"/>
      <c r="AK339" s="30"/>
      <c r="AL339" s="30"/>
      <c r="AM339" s="30"/>
      <c r="AN339" s="30"/>
      <c r="AO339" s="30"/>
      <c r="AP339" s="30"/>
      <c r="AQ339" s="30"/>
    </row>
    <row r="340" spans="1:43">
      <c r="A340" s="27"/>
      <c r="B340" s="28"/>
      <c r="C340" s="28"/>
      <c r="D340" s="28"/>
      <c r="E340" s="28"/>
      <c r="F340" s="204" t="s">
        <v>292</v>
      </c>
      <c r="G340" s="28"/>
      <c r="H340" s="28"/>
      <c r="I340" s="28"/>
      <c r="J340" s="28"/>
      <c r="K340" s="27"/>
      <c r="L340" s="19"/>
      <c r="M340" s="160"/>
      <c r="N340" s="110"/>
      <c r="O340" s="111"/>
      <c r="P340" s="23"/>
      <c r="Q340" s="164"/>
      <c r="T340" s="62"/>
      <c r="U340" s="27"/>
      <c r="V340" s="27"/>
      <c r="W340" s="27"/>
      <c r="X340" s="27"/>
      <c r="Y340" s="27"/>
      <c r="Z340" s="27"/>
      <c r="AA340" s="27"/>
      <c r="AB340" s="27"/>
      <c r="AC340" s="27"/>
      <c r="AD340" s="27"/>
      <c r="AE340" s="27"/>
      <c r="AF340" s="27"/>
      <c r="AG340" s="27"/>
      <c r="AH340" s="27"/>
      <c r="AI340" s="27"/>
      <c r="AJ340" s="30"/>
      <c r="AK340" s="30"/>
      <c r="AL340" s="30"/>
      <c r="AM340" s="30"/>
      <c r="AN340" s="30"/>
      <c r="AO340" s="30"/>
      <c r="AP340" s="30"/>
      <c r="AQ340" s="30"/>
    </row>
    <row r="341" spans="1:43">
      <c r="A341" s="146"/>
      <c r="B341" s="141"/>
      <c r="C341" s="141"/>
      <c r="D341" s="141"/>
      <c r="E341" s="13" t="s">
        <v>47</v>
      </c>
      <c r="F341" s="14" t="str">
        <f>$C$1</f>
        <v>R. Abbott</v>
      </c>
      <c r="G341" s="15"/>
      <c r="H341" s="16"/>
      <c r="I341" s="13" t="s">
        <v>53</v>
      </c>
      <c r="J341" s="17" t="str">
        <f>$G$2</f>
        <v>AA-SM-000-001</v>
      </c>
      <c r="K341" s="16"/>
      <c r="L341" s="18"/>
      <c r="N341" s="110"/>
      <c r="O341" s="111"/>
      <c r="P341" s="23"/>
      <c r="Q341" s="164"/>
      <c r="T341" s="62"/>
      <c r="U341" s="27"/>
      <c r="V341" s="27"/>
      <c r="W341" s="27"/>
      <c r="X341" s="27"/>
      <c r="Y341" s="27"/>
      <c r="Z341" s="27"/>
      <c r="AA341" s="27"/>
      <c r="AB341" s="27"/>
      <c r="AC341" s="27"/>
      <c r="AD341" s="27"/>
      <c r="AE341" s="27"/>
      <c r="AF341" s="27"/>
      <c r="AG341" s="27"/>
      <c r="AH341" s="27"/>
      <c r="AI341" s="27"/>
      <c r="AJ341" s="30"/>
      <c r="AK341" s="30"/>
      <c r="AL341" s="30"/>
      <c r="AM341" s="30"/>
      <c r="AN341" s="30"/>
      <c r="AO341" s="30"/>
      <c r="AP341" s="30"/>
      <c r="AQ341" s="30"/>
    </row>
    <row r="342" spans="1:43">
      <c r="A342" s="141"/>
      <c r="B342" s="141"/>
      <c r="C342" s="141"/>
      <c r="D342" s="141"/>
      <c r="E342" s="13" t="s">
        <v>49</v>
      </c>
      <c r="F342" s="16" t="str">
        <f>$C$2</f>
        <v xml:space="preserve"> </v>
      </c>
      <c r="G342" s="15"/>
      <c r="H342" s="16"/>
      <c r="I342" s="13" t="s">
        <v>54</v>
      </c>
      <c r="J342" s="16" t="str">
        <f>$G$3</f>
        <v>C</v>
      </c>
      <c r="K342" s="16"/>
      <c r="L342" s="18"/>
      <c r="M342" s="10">
        <v>1</v>
      </c>
      <c r="N342" s="110"/>
      <c r="O342" s="111"/>
      <c r="P342" s="23"/>
      <c r="Q342" s="164"/>
      <c r="T342" s="62"/>
      <c r="U342" s="27"/>
      <c r="V342" s="27"/>
      <c r="W342" s="27"/>
      <c r="X342" s="27"/>
      <c r="Y342" s="27"/>
      <c r="Z342" s="27"/>
      <c r="AA342" s="27"/>
      <c r="AB342" s="27"/>
      <c r="AC342" s="27"/>
      <c r="AD342" s="27"/>
      <c r="AE342" s="27"/>
      <c r="AF342" s="27"/>
      <c r="AG342" s="27"/>
      <c r="AH342" s="27"/>
      <c r="AI342" s="27"/>
      <c r="AJ342" s="30"/>
      <c r="AK342" s="30"/>
      <c r="AL342" s="30"/>
      <c r="AM342" s="30"/>
      <c r="AN342" s="30"/>
      <c r="AO342" s="30"/>
      <c r="AP342" s="30"/>
      <c r="AQ342" s="30"/>
    </row>
    <row r="343" spans="1:43">
      <c r="A343" s="141"/>
      <c r="B343" s="141"/>
      <c r="C343" s="141"/>
      <c r="D343" s="141"/>
      <c r="E343" s="13" t="s">
        <v>0</v>
      </c>
      <c r="F343" s="16" t="str">
        <f>$C$3</f>
        <v>Jul-10</v>
      </c>
      <c r="G343" s="15"/>
      <c r="H343" s="16"/>
      <c r="I343" s="13" t="s">
        <v>55</v>
      </c>
      <c r="J343" s="14" t="str">
        <f>L343&amp;" of "&amp;$G$1</f>
        <v>7 of 1</v>
      </c>
      <c r="K343" s="16"/>
      <c r="L343" s="18">
        <f>SUM($M$1:M342)</f>
        <v>7</v>
      </c>
      <c r="N343" s="110"/>
      <c r="O343" s="111"/>
      <c r="P343" s="23"/>
      <c r="Q343" s="164"/>
      <c r="T343" s="62"/>
      <c r="U343" s="27"/>
      <c r="V343" s="27"/>
      <c r="W343" s="27"/>
      <c r="X343" s="27"/>
      <c r="Y343" s="27"/>
      <c r="Z343" s="27"/>
      <c r="AA343" s="27"/>
      <c r="AB343" s="27"/>
      <c r="AC343" s="27"/>
      <c r="AD343" s="27"/>
      <c r="AE343" s="27"/>
      <c r="AF343" s="27"/>
      <c r="AG343" s="27"/>
      <c r="AH343" s="27"/>
      <c r="AI343" s="27"/>
      <c r="AJ343" s="30"/>
      <c r="AK343" s="30"/>
      <c r="AL343" s="30"/>
      <c r="AM343" s="30"/>
      <c r="AN343" s="30"/>
      <c r="AO343" s="30"/>
      <c r="AP343" s="30"/>
      <c r="AQ343" s="30"/>
    </row>
    <row r="344" spans="1:43">
      <c r="A344" s="3"/>
      <c r="B344" s="3"/>
      <c r="C344" s="3"/>
      <c r="D344" s="3"/>
      <c r="E344" s="142" t="s">
        <v>291</v>
      </c>
      <c r="F344" s="147" t="str">
        <f>$C$5</f>
        <v>STANDARD SPREADSHEET METHOD</v>
      </c>
      <c r="G344" s="15"/>
      <c r="H344" s="15"/>
      <c r="I344" s="15"/>
      <c r="J344" s="15"/>
      <c r="K344" s="15"/>
      <c r="L344" s="18"/>
      <c r="N344" s="110"/>
      <c r="O344" s="111"/>
      <c r="P344" s="23"/>
      <c r="Q344" s="164"/>
      <c r="T344" s="62"/>
      <c r="U344" s="27"/>
      <c r="V344" s="27"/>
      <c r="W344" s="27"/>
      <c r="X344" s="27"/>
      <c r="Y344" s="27"/>
      <c r="Z344" s="27"/>
      <c r="AA344" s="27"/>
      <c r="AB344" s="27"/>
      <c r="AC344" s="27"/>
      <c r="AD344" s="27"/>
      <c r="AE344" s="27"/>
      <c r="AF344" s="27"/>
      <c r="AG344" s="27"/>
      <c r="AH344" s="38"/>
      <c r="AI344" s="38"/>
      <c r="AJ344" s="30"/>
      <c r="AK344" s="30"/>
      <c r="AL344" s="30"/>
      <c r="AM344" s="30"/>
      <c r="AN344" s="30"/>
      <c r="AO344" s="30"/>
      <c r="AP344" s="30"/>
      <c r="AQ344" s="30"/>
    </row>
    <row r="345" spans="1:43" ht="15.6">
      <c r="A345" s="27"/>
      <c r="B345" s="26" t="str">
        <f>$G$4</f>
        <v>ALUMINUM MATERIAL DATA</v>
      </c>
      <c r="C345" s="27"/>
      <c r="D345" s="29"/>
      <c r="E345" s="29"/>
      <c r="F345" s="29"/>
      <c r="G345" s="29"/>
      <c r="H345" s="29"/>
      <c r="I345" s="19"/>
      <c r="J345" s="19"/>
      <c r="K345" s="19"/>
      <c r="L345" s="19"/>
      <c r="M345" s="91"/>
      <c r="N345" s="110"/>
      <c r="O345" s="111"/>
      <c r="P345" s="23"/>
      <c r="Q345" s="164"/>
      <c r="T345" s="62"/>
      <c r="U345" s="27"/>
      <c r="V345" s="27"/>
      <c r="W345" s="27"/>
      <c r="X345" s="27"/>
      <c r="Y345" s="27"/>
      <c r="Z345" s="27"/>
      <c r="AA345" s="27"/>
      <c r="AB345" s="27"/>
      <c r="AC345" s="27"/>
      <c r="AD345" s="27"/>
      <c r="AE345" s="27"/>
      <c r="AF345" s="27"/>
      <c r="AG345" s="27"/>
      <c r="AH345" s="38"/>
      <c r="AI345" s="38"/>
      <c r="AJ345" s="30"/>
      <c r="AK345" s="30"/>
      <c r="AL345" s="30"/>
      <c r="AM345" s="30"/>
      <c r="AN345" s="30"/>
      <c r="AO345" s="30"/>
      <c r="AP345" s="30"/>
      <c r="AQ345" s="30"/>
    </row>
    <row r="346" spans="1:43">
      <c r="A346" s="25"/>
      <c r="B346" s="225" t="s">
        <v>296</v>
      </c>
      <c r="C346" s="225"/>
      <c r="L346" s="19"/>
      <c r="M346" s="160"/>
      <c r="N346" s="110"/>
      <c r="O346" s="111"/>
      <c r="P346" s="23"/>
      <c r="Q346" s="164"/>
      <c r="T346" s="62"/>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row>
    <row r="347" spans="1:43">
      <c r="A347" s="27"/>
      <c r="B347" s="113" t="str">
        <f>B235</f>
        <v xml:space="preserve">Material Properties for </v>
      </c>
      <c r="C347" s="27"/>
      <c r="D347" s="29"/>
      <c r="E347" s="29"/>
      <c r="F347" s="29"/>
      <c r="G347" s="29"/>
      <c r="H347" s="29"/>
      <c r="I347" s="19"/>
      <c r="J347" s="19"/>
      <c r="K347" s="19"/>
      <c r="L347" s="19"/>
      <c r="M347" s="91"/>
      <c r="N347" s="110"/>
      <c r="O347" s="111"/>
      <c r="P347" s="23"/>
      <c r="Q347" s="164"/>
      <c r="T347" s="62"/>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row>
    <row r="348" spans="1:43">
      <c r="A348" s="27"/>
      <c r="B348" s="28" t="s">
        <v>110</v>
      </c>
      <c r="C348" s="27"/>
      <c r="D348" s="27"/>
      <c r="E348" s="27"/>
      <c r="F348" s="27"/>
      <c r="G348" s="27"/>
      <c r="H348" s="27"/>
      <c r="I348" s="19"/>
      <c r="J348" s="19"/>
      <c r="K348" s="19"/>
      <c r="L348" s="19"/>
      <c r="M348" s="91"/>
      <c r="N348" s="110"/>
      <c r="O348" s="111"/>
      <c r="P348" s="23"/>
      <c r="Q348" s="164"/>
      <c r="T348" s="62"/>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row>
    <row r="349" spans="1:43">
      <c r="A349" s="27"/>
      <c r="B349" s="215" t="s">
        <v>298</v>
      </c>
      <c r="C349" s="27"/>
      <c r="D349" s="27" t="s">
        <v>303</v>
      </c>
      <c r="E349" s="27"/>
      <c r="F349" s="27"/>
      <c r="G349" s="27"/>
      <c r="H349" s="27"/>
      <c r="I349" s="19"/>
      <c r="J349" s="19"/>
      <c r="K349" s="19"/>
      <c r="L349" s="19"/>
      <c r="M349" s="91"/>
      <c r="N349" s="110"/>
      <c r="O349" s="111"/>
      <c r="P349" s="23"/>
      <c r="Q349" s="164"/>
      <c r="T349" s="62"/>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row>
    <row r="350" spans="1:43">
      <c r="B350" s="38"/>
      <c r="C350" s="117"/>
      <c r="D350" s="118"/>
      <c r="E350" s="38" t="s">
        <v>103</v>
      </c>
      <c r="F350" s="38" t="s">
        <v>99</v>
      </c>
      <c r="G350" s="38" t="s">
        <v>104</v>
      </c>
      <c r="H350" s="38" t="s">
        <v>105</v>
      </c>
      <c r="I350" s="38" t="s">
        <v>6</v>
      </c>
      <c r="J350" s="19"/>
      <c r="K350" s="19"/>
      <c r="L350" s="19"/>
      <c r="M350" s="160"/>
      <c r="N350" s="110"/>
      <c r="O350" s="111"/>
      <c r="P350" s="23"/>
      <c r="Q350" s="164"/>
      <c r="T350" s="62"/>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row>
    <row r="351" spans="1:43">
      <c r="B351" s="38" t="s">
        <v>97</v>
      </c>
      <c r="C351" s="38" t="s">
        <v>111</v>
      </c>
      <c r="D351" s="38" t="s">
        <v>65</v>
      </c>
      <c r="E351" s="38" t="s">
        <v>101</v>
      </c>
      <c r="F351" s="38" t="s">
        <v>101</v>
      </c>
      <c r="G351" s="38" t="s">
        <v>106</v>
      </c>
      <c r="H351" s="38" t="s">
        <v>107</v>
      </c>
      <c r="I351" s="38" t="s">
        <v>108</v>
      </c>
      <c r="J351" s="23"/>
      <c r="K351" s="19"/>
      <c r="L351" s="19"/>
      <c r="M351" s="91"/>
      <c r="N351" s="110"/>
      <c r="O351" s="111"/>
      <c r="P351" s="23"/>
      <c r="Q351" s="164"/>
      <c r="T351" s="62"/>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row>
    <row r="352" spans="1:43">
      <c r="B352" s="38" t="s">
        <v>63</v>
      </c>
      <c r="C352" s="38"/>
      <c r="D352" s="38" t="s">
        <v>62</v>
      </c>
      <c r="E352" s="38"/>
      <c r="F352" s="38"/>
      <c r="G352" s="27"/>
      <c r="H352" s="27"/>
      <c r="I352" s="38" t="s">
        <v>63</v>
      </c>
      <c r="J352" s="23"/>
      <c r="K352" s="19"/>
      <c r="L352" s="19"/>
      <c r="M352" s="91"/>
      <c r="N352" s="110"/>
      <c r="O352" s="111"/>
      <c r="P352" s="23"/>
      <c r="Q352" s="164"/>
      <c r="T352" s="62"/>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row>
    <row r="353" spans="2:43">
      <c r="B353" s="114"/>
      <c r="C353" s="115"/>
      <c r="D353" s="115"/>
      <c r="E353" s="115"/>
      <c r="F353" s="115"/>
      <c r="G353" s="115"/>
      <c r="H353" s="115"/>
      <c r="I353" s="114"/>
      <c r="J353" s="128"/>
      <c r="K353" s="19"/>
      <c r="L353" s="19"/>
      <c r="M353" s="91"/>
      <c r="N353" s="110"/>
      <c r="O353" s="111"/>
      <c r="P353" s="23"/>
      <c r="Q353" s="164"/>
      <c r="T353" s="62"/>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row>
    <row r="354" spans="2:43">
      <c r="B354" s="38" t="s">
        <v>102</v>
      </c>
      <c r="C354" s="38"/>
      <c r="D354" s="27"/>
      <c r="E354" s="38" t="s">
        <v>102</v>
      </c>
      <c r="F354" s="38" t="s">
        <v>102</v>
      </c>
      <c r="G354" s="27"/>
      <c r="H354" s="27"/>
      <c r="I354" s="38" t="s">
        <v>102</v>
      </c>
      <c r="J354" s="23"/>
      <c r="K354" s="19"/>
      <c r="L354" s="19"/>
      <c r="M354" s="91"/>
      <c r="N354" s="110"/>
      <c r="O354" s="111"/>
      <c r="P354" s="23"/>
      <c r="Q354" s="164"/>
      <c r="T354" s="62"/>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row>
    <row r="355" spans="2:43">
      <c r="B355" s="116">
        <f>B244</f>
        <v>0</v>
      </c>
      <c r="C355" s="117">
        <f>C244</f>
        <v>12</v>
      </c>
      <c r="D355" s="118">
        <f>(B355/MIN($D$35:$D$36))+0.002*(B355/MIN($D$24:$D$26))^C355</f>
        <v>0</v>
      </c>
      <c r="E355" s="116">
        <f>E244</f>
        <v>10500000</v>
      </c>
      <c r="F355" s="116">
        <f>MIN(D35:D36)</f>
        <v>10500000</v>
      </c>
      <c r="G355" s="117">
        <f t="shared" ref="G355:G380" si="23">0.5-((0.5-0.33)*(F355/$F$355))</f>
        <v>0.33</v>
      </c>
      <c r="H355" s="117">
        <f>(F355*(1-0.33^2))/(2*$F$355*(1-G355^2))*(1+0.5*SQRT(1+3*E355/F355))</f>
        <v>1</v>
      </c>
      <c r="I355" s="116">
        <f>B355</f>
        <v>0</v>
      </c>
      <c r="K355" s="129"/>
      <c r="L355" s="19"/>
      <c r="M355" s="91"/>
      <c r="N355" s="110"/>
      <c r="O355" s="111"/>
      <c r="P355" s="23"/>
      <c r="Q355" s="164"/>
      <c r="T355" s="62"/>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row>
    <row r="356" spans="2:43">
      <c r="B356" s="116">
        <f>B245*0.8</f>
        <v>38640</v>
      </c>
      <c r="C356" s="117">
        <f>IF(B356&lt;MIN($D$24:$D$26),MIN($H$34:$H$35),(LOG(($D$32)/0.002))/(LOG(MIN($D$18:$D$20)/MIN($D$24:$D$26))))</f>
        <v>12</v>
      </c>
      <c r="D356" s="118">
        <f t="shared" ref="D356:D380" si="24">(B356/MIN($D$35:$D$36))+0.002*(B356/MIN($D$24:$D$26))^C356</f>
        <v>3.6819023320276111E-3</v>
      </c>
      <c r="E356" s="116">
        <f t="shared" ref="E356:E380" si="25">B356/((B356/MIN($D$35:$D$36))+0.002*C356*(B356/MIN($D$24:$D$26))^(C356-1))</f>
        <v>10384963.228905814</v>
      </c>
      <c r="F356" s="116">
        <f t="shared" ref="F356:F380" si="26">B356/((B356/$F$355)+0.002*(B356/MIN($D$24:$D$26))^C356)</f>
        <v>10494574.95487695</v>
      </c>
      <c r="G356" s="117">
        <f t="shared" si="23"/>
        <v>0.33008783406389702</v>
      </c>
      <c r="H356" s="117">
        <f t="shared" ref="H356:H380" si="27">(F356*(1-0.33^2))/(2*$F$355*(1-G356^2))*(1+0.5*SQRT(1+3*E356/F356))</f>
        <v>0.99758703512013946</v>
      </c>
      <c r="I356" s="116">
        <f t="shared" ref="I356:I380" si="28">B356/H356</f>
        <v>38733.46248465086</v>
      </c>
      <c r="K356" s="129"/>
      <c r="L356" s="19"/>
      <c r="M356" s="91"/>
      <c r="N356" s="110"/>
      <c r="O356" s="111"/>
      <c r="P356" s="23"/>
      <c r="Q356" s="164"/>
      <c r="T356" s="62"/>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row>
    <row r="357" spans="2:43">
      <c r="B357" s="116">
        <f t="shared" ref="B357:B380" si="29">B246</f>
        <v>49593.75</v>
      </c>
      <c r="C357" s="117">
        <f t="shared" ref="C357:C380" si="30">IF(B357&lt;MIN($D$24:$D$26),MIN($H$34:$H$35),(LOG(($D$32)/0.002))/(LOG(MIN($D$18:$D$20)/MIN($D$24:$D$26))))</f>
        <v>12</v>
      </c>
      <c r="D357" s="118">
        <f t="shared" si="24"/>
        <v>4.7612300991837263E-3</v>
      </c>
      <c r="E357" s="116">
        <f t="shared" si="25"/>
        <v>9256169.1871024668</v>
      </c>
      <c r="F357" s="116">
        <f t="shared" si="26"/>
        <v>10416163.253379088</v>
      </c>
      <c r="G357" s="117">
        <f t="shared" si="23"/>
        <v>0.33135735685005285</v>
      </c>
      <c r="H357" s="117">
        <f t="shared" si="27"/>
        <v>0.97182879685882206</v>
      </c>
      <c r="I357" s="116">
        <f t="shared" si="28"/>
        <v>51031.364948536815</v>
      </c>
      <c r="K357" s="129"/>
      <c r="L357" s="19"/>
      <c r="M357" s="91"/>
      <c r="N357" s="110"/>
      <c r="O357" s="111"/>
      <c r="P357" s="23"/>
      <c r="Q357" s="164"/>
      <c r="T357" s="62"/>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row>
    <row r="358" spans="2:43">
      <c r="B358" s="116">
        <f t="shared" si="29"/>
        <v>50887.5</v>
      </c>
      <c r="C358" s="117">
        <f t="shared" si="30"/>
        <v>12</v>
      </c>
      <c r="D358" s="118">
        <f t="shared" si="24"/>
        <v>4.8982100314380736E-3</v>
      </c>
      <c r="E358" s="116">
        <f t="shared" si="25"/>
        <v>8944933.9665075745</v>
      </c>
      <c r="F358" s="116">
        <f t="shared" si="26"/>
        <v>10388999.179984093</v>
      </c>
      <c r="G358" s="117">
        <f t="shared" si="23"/>
        <v>0.3317971561335909</v>
      </c>
      <c r="H358" s="117">
        <f t="shared" si="27"/>
        <v>0.96421899684833512</v>
      </c>
      <c r="I358" s="116">
        <f t="shared" si="28"/>
        <v>52775.873703310004</v>
      </c>
      <c r="K358" s="129"/>
      <c r="L358" s="19"/>
      <c r="M358" s="91"/>
      <c r="N358" s="110"/>
      <c r="O358" s="111"/>
      <c r="P358" s="23"/>
      <c r="Q358" s="164"/>
      <c r="T358" s="62"/>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row>
    <row r="359" spans="2:43">
      <c r="B359" s="116">
        <f t="shared" si="29"/>
        <v>52181.25</v>
      </c>
      <c r="C359" s="117">
        <f t="shared" si="30"/>
        <v>12</v>
      </c>
      <c r="D359" s="118">
        <f t="shared" si="24"/>
        <v>5.0396294171625973E-3</v>
      </c>
      <c r="E359" s="116">
        <f t="shared" si="25"/>
        <v>8582197.6774152834</v>
      </c>
      <c r="F359" s="116">
        <f t="shared" si="26"/>
        <v>10354183.945012962</v>
      </c>
      <c r="G359" s="117">
        <f t="shared" si="23"/>
        <v>0.33236083136645678</v>
      </c>
      <c r="H359" s="117">
        <f t="shared" si="27"/>
        <v>0.95505984055563553</v>
      </c>
      <c r="I359" s="116">
        <f t="shared" si="28"/>
        <v>54636.628810234499</v>
      </c>
      <c r="K359" s="129"/>
      <c r="L359" s="19"/>
      <c r="M359" s="91"/>
      <c r="N359" s="110"/>
      <c r="O359" s="111"/>
      <c r="P359" s="23"/>
      <c r="Q359" s="164"/>
      <c r="T359" s="62"/>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row>
    <row r="360" spans="2:43">
      <c r="B360" s="116">
        <f t="shared" si="29"/>
        <v>53475</v>
      </c>
      <c r="C360" s="117">
        <f t="shared" si="30"/>
        <v>12</v>
      </c>
      <c r="D360" s="118">
        <f t="shared" si="24"/>
        <v>5.186753863718167E-3</v>
      </c>
      <c r="E360" s="116">
        <f t="shared" si="25"/>
        <v>8168185.2135035815</v>
      </c>
      <c r="F360" s="116">
        <f t="shared" si="26"/>
        <v>10309916.646336868</v>
      </c>
      <c r="G360" s="117">
        <f t="shared" si="23"/>
        <v>0.33307754001168882</v>
      </c>
      <c r="H360" s="117">
        <f t="shared" si="27"/>
        <v>0.94419545158269891</v>
      </c>
      <c r="I360" s="116">
        <f t="shared" si="28"/>
        <v>56635.519595400532</v>
      </c>
      <c r="K360" s="129"/>
      <c r="L360" s="19"/>
      <c r="M360" s="91"/>
      <c r="N360" s="110"/>
      <c r="O360" s="111"/>
      <c r="P360" s="23"/>
      <c r="Q360" s="164"/>
      <c r="T360" s="62"/>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row>
    <row r="361" spans="2:43">
      <c r="B361" s="116">
        <f t="shared" si="29"/>
        <v>54768.75</v>
      </c>
      <c r="C361" s="117">
        <f t="shared" si="30"/>
        <v>12</v>
      </c>
      <c r="D361" s="118">
        <f t="shared" si="24"/>
        <v>5.3411649606641106E-3</v>
      </c>
      <c r="E361" s="116">
        <f t="shared" si="25"/>
        <v>7706040.4351743767</v>
      </c>
      <c r="F361" s="116">
        <f t="shared" si="26"/>
        <v>10254083.220299968</v>
      </c>
      <c r="G361" s="117">
        <f t="shared" si="23"/>
        <v>0.33398150976657193</v>
      </c>
      <c r="H361" s="117">
        <f t="shared" si="27"/>
        <v>0.93149806705964278</v>
      </c>
      <c r="I361" s="116">
        <f t="shared" si="28"/>
        <v>58796.418303778635</v>
      </c>
      <c r="K361" s="129"/>
      <c r="L361" s="19"/>
      <c r="M361" s="91"/>
      <c r="N361" s="110"/>
      <c r="O361" s="111"/>
      <c r="P361" s="23"/>
      <c r="Q361" s="164"/>
      <c r="T361" s="62"/>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row>
    <row r="362" spans="2:43">
      <c r="B362" s="116">
        <f t="shared" si="29"/>
        <v>56062.5</v>
      </c>
      <c r="C362" s="117">
        <f t="shared" si="30"/>
        <v>12</v>
      </c>
      <c r="D362" s="118">
        <f t="shared" si="24"/>
        <v>5.504828565694707E-3</v>
      </c>
      <c r="E362" s="116">
        <f t="shared" si="25"/>
        <v>7202064.5236949483</v>
      </c>
      <c r="F362" s="116">
        <f t="shared" si="26"/>
        <v>10184240.858902195</v>
      </c>
      <c r="G362" s="117">
        <f t="shared" si="23"/>
        <v>0.33511229085586924</v>
      </c>
      <c r="H362" s="117">
        <f t="shared" si="27"/>
        <v>0.91687607647835767</v>
      </c>
      <c r="I362" s="116">
        <f t="shared" si="28"/>
        <v>61145.122485179512</v>
      </c>
      <c r="K362" s="129"/>
      <c r="L362" s="19"/>
      <c r="M362" s="91"/>
      <c r="N362" s="110"/>
      <c r="O362" s="111"/>
      <c r="P362" s="23"/>
      <c r="Q362" s="164"/>
      <c r="T362" s="62"/>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row>
    <row r="363" spans="2:43">
      <c r="B363" s="116">
        <f t="shared" si="29"/>
        <v>57356.25</v>
      </c>
      <c r="C363" s="117">
        <f t="shared" si="30"/>
        <v>12</v>
      </c>
      <c r="D363" s="118">
        <f t="shared" si="24"/>
        <v>5.680175672765359E-3</v>
      </c>
      <c r="E363" s="116">
        <f t="shared" si="25"/>
        <v>6665544.7056400171</v>
      </c>
      <c r="F363" s="116">
        <f t="shared" si="26"/>
        <v>10097619.035799373</v>
      </c>
      <c r="G363" s="117">
        <f t="shared" si="23"/>
        <v>0.33651473942039112</v>
      </c>
      <c r="H363" s="117">
        <f t="shared" si="27"/>
        <v>0.90027738902458909</v>
      </c>
      <c r="I363" s="116">
        <f t="shared" si="28"/>
        <v>63709.53075045345</v>
      </c>
      <c r="K363" s="129"/>
      <c r="L363" s="19"/>
      <c r="M363" s="91"/>
      <c r="N363" s="110"/>
      <c r="O363" s="111"/>
      <c r="P363" s="23"/>
      <c r="Q363" s="164"/>
      <c r="T363" s="62"/>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row>
    <row r="364" spans="2:43">
      <c r="B364" s="116">
        <f t="shared" si="29"/>
        <v>58650</v>
      </c>
      <c r="C364" s="117">
        <f t="shared" si="30"/>
        <v>12</v>
      </c>
      <c r="D364" s="118">
        <f t="shared" si="24"/>
        <v>5.8701977999866296E-3</v>
      </c>
      <c r="E364" s="116">
        <f t="shared" si="25"/>
        <v>6108132.9275434176</v>
      </c>
      <c r="F364" s="116">
        <f t="shared" si="26"/>
        <v>9991145.4431967493</v>
      </c>
      <c r="G364" s="117">
        <f t="shared" si="23"/>
        <v>0.33823859758633834</v>
      </c>
      <c r="H364" s="117">
        <f t="shared" si="27"/>
        <v>0.88168677843993437</v>
      </c>
      <c r="I364" s="116">
        <f t="shared" si="28"/>
        <v>66520.221732003192</v>
      </c>
      <c r="K364" s="129"/>
      <c r="L364" s="19"/>
      <c r="M364" s="91"/>
      <c r="N364" s="110"/>
      <c r="O364" s="111"/>
      <c r="P364" s="23"/>
      <c r="Q364" s="164"/>
      <c r="T364" s="62"/>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row>
    <row r="365" spans="2:43">
      <c r="B365" s="116">
        <f t="shared" si="29"/>
        <v>59943.75</v>
      </c>
      <c r="C365" s="117">
        <f t="shared" si="30"/>
        <v>12</v>
      </c>
      <c r="D365" s="118">
        <f t="shared" si="24"/>
        <v>6.078559077452304E-3</v>
      </c>
      <c r="E365" s="116">
        <f t="shared" si="25"/>
        <v>5542845.8340618433</v>
      </c>
      <c r="F365" s="116">
        <f t="shared" si="26"/>
        <v>9861506.5241948962</v>
      </c>
      <c r="G365" s="117">
        <f t="shared" si="23"/>
        <v>0.34033751341779694</v>
      </c>
      <c r="H365" s="117">
        <f t="shared" si="27"/>
        <v>0.86111737112155662</v>
      </c>
      <c r="I365" s="116">
        <f t="shared" si="28"/>
        <v>69611.590719539963</v>
      </c>
      <c r="K365" s="129"/>
      <c r="L365" s="19"/>
      <c r="M365" s="91"/>
      <c r="N365" s="110"/>
      <c r="O365" s="111"/>
      <c r="P365" s="23"/>
      <c r="Q365" s="164"/>
      <c r="T365" s="62"/>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row>
    <row r="366" spans="2:43">
      <c r="B366" s="116">
        <f t="shared" si="29"/>
        <v>61237.5</v>
      </c>
      <c r="C366" s="117">
        <f t="shared" si="30"/>
        <v>12</v>
      </c>
      <c r="D366" s="118">
        <f t="shared" si="24"/>
        <v>6.3097274814752566E-3</v>
      </c>
      <c r="E366" s="116">
        <f t="shared" si="25"/>
        <v>4982861.5188466338</v>
      </c>
      <c r="F366" s="116">
        <f t="shared" si="26"/>
        <v>9705252.7513727527</v>
      </c>
      <c r="G366" s="117">
        <f t="shared" si="23"/>
        <v>0.34286733640634592</v>
      </c>
      <c r="H366" s="117">
        <f t="shared" si="27"/>
        <v>0.83859827899976191</v>
      </c>
      <c r="I366" s="116">
        <f t="shared" si="28"/>
        <v>73023.641394829741</v>
      </c>
      <c r="K366" s="129"/>
      <c r="L366" s="19"/>
      <c r="M366" s="91"/>
      <c r="N366" s="110"/>
      <c r="O366" s="111"/>
      <c r="P366" s="23"/>
      <c r="Q366" s="164"/>
      <c r="T366" s="62"/>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row>
    <row r="367" spans="2:43">
      <c r="B367" s="116">
        <f t="shared" si="29"/>
        <v>62531.25</v>
      </c>
      <c r="C367" s="117">
        <f t="shared" si="30"/>
        <v>12</v>
      </c>
      <c r="D367" s="118">
        <f t="shared" si="24"/>
        <v>6.5691279534313141E-3</v>
      </c>
      <c r="E367" s="116">
        <f t="shared" si="25"/>
        <v>4440342.2756264787</v>
      </c>
      <c r="F367" s="116">
        <f t="shared" si="26"/>
        <v>9518957.5303275175</v>
      </c>
      <c r="G367" s="117">
        <f t="shared" si="23"/>
        <v>0.34588354474707828</v>
      </c>
      <c r="H367" s="117">
        <f t="shared" si="27"/>
        <v>0.81416188047847238</v>
      </c>
      <c r="I367" s="116">
        <f t="shared" si="28"/>
        <v>76804.443316912846</v>
      </c>
      <c r="K367" s="129"/>
      <c r="L367" s="19"/>
      <c r="M367" s="91"/>
      <c r="N367" s="110"/>
      <c r="O367" s="111"/>
      <c r="P367" s="23"/>
      <c r="Q367" s="164"/>
      <c r="T367" s="62"/>
      <c r="U367" s="30"/>
      <c r="V367" s="30"/>
      <c r="W367" s="30"/>
      <c r="X367" s="34"/>
      <c r="Y367" s="27"/>
      <c r="Z367" s="30"/>
      <c r="AA367" s="30"/>
      <c r="AB367" s="30"/>
      <c r="AC367" s="30"/>
      <c r="AD367" s="30"/>
      <c r="AE367" s="30"/>
      <c r="AF367" s="30"/>
      <c r="AG367" s="30"/>
      <c r="AH367" s="30"/>
      <c r="AI367" s="30"/>
      <c r="AJ367" s="30"/>
      <c r="AK367" s="30"/>
      <c r="AL367" s="30"/>
      <c r="AM367" s="30"/>
      <c r="AN367" s="30"/>
      <c r="AO367" s="30"/>
      <c r="AP367" s="30"/>
      <c r="AQ367" s="30"/>
    </row>
    <row r="368" spans="2:43">
      <c r="B368" s="116">
        <f t="shared" si="29"/>
        <v>63825</v>
      </c>
      <c r="C368" s="117">
        <f t="shared" si="30"/>
        <v>12</v>
      </c>
      <c r="D368" s="118">
        <f t="shared" si="24"/>
        <v>6.8633204603345101E-3</v>
      </c>
      <c r="E368" s="116">
        <f t="shared" si="25"/>
        <v>3925494.1739152311</v>
      </c>
      <c r="F368" s="116">
        <f t="shared" si="26"/>
        <v>9299434.6350089051</v>
      </c>
      <c r="G368" s="117">
        <f t="shared" si="23"/>
        <v>0.34943772495699865</v>
      </c>
      <c r="H368" s="117">
        <f t="shared" si="27"/>
        <v>0.78783481036052638</v>
      </c>
      <c r="I368" s="116">
        <f t="shared" si="28"/>
        <v>81013.175808762011</v>
      </c>
      <c r="K368" s="129"/>
      <c r="L368" s="23"/>
      <c r="M368" s="91"/>
      <c r="N368" s="110"/>
      <c r="O368" s="111"/>
      <c r="P368" s="23"/>
      <c r="Q368" s="164"/>
      <c r="T368" s="62"/>
      <c r="U368" s="30"/>
      <c r="V368" s="30"/>
      <c r="W368" s="30"/>
      <c r="X368" s="27"/>
      <c r="Y368" s="27"/>
      <c r="Z368" s="30"/>
      <c r="AA368" s="30"/>
      <c r="AB368" s="30"/>
      <c r="AC368" s="30"/>
      <c r="AD368" s="30"/>
      <c r="AE368" s="30"/>
      <c r="AF368" s="30"/>
      <c r="AG368" s="30"/>
      <c r="AH368" s="30"/>
      <c r="AI368" s="30"/>
      <c r="AJ368" s="30"/>
      <c r="AK368" s="30"/>
      <c r="AL368" s="30"/>
      <c r="AM368" s="30"/>
      <c r="AN368" s="30"/>
      <c r="AO368" s="30"/>
      <c r="AP368" s="30"/>
      <c r="AQ368" s="30"/>
    </row>
    <row r="369" spans="1:43">
      <c r="B369" s="116">
        <f t="shared" si="29"/>
        <v>65118.75</v>
      </c>
      <c r="C369" s="117">
        <f t="shared" si="30"/>
        <v>12</v>
      </c>
      <c r="D369" s="118">
        <f t="shared" si="24"/>
        <v>7.2002064022466975E-3</v>
      </c>
      <c r="E369" s="116">
        <f t="shared" si="25"/>
        <v>3445995.1267702933</v>
      </c>
      <c r="F369" s="116">
        <f t="shared" si="26"/>
        <v>9044011.5688462537</v>
      </c>
      <c r="G369" s="117">
        <f t="shared" si="23"/>
        <v>0.35357314602820356</v>
      </c>
      <c r="H369" s="117">
        <f t="shared" si="27"/>
        <v>0.75963605893314601</v>
      </c>
      <c r="I369" s="116">
        <f t="shared" si="28"/>
        <v>85723.616242565666</v>
      </c>
      <c r="K369" s="129"/>
      <c r="L369" s="119"/>
      <c r="M369" s="91"/>
      <c r="N369" s="110"/>
      <c r="O369" s="111"/>
      <c r="P369" s="23"/>
      <c r="Q369" s="164"/>
      <c r="T369" s="62"/>
      <c r="U369" s="30"/>
      <c r="V369" s="30"/>
      <c r="W369" s="30"/>
      <c r="X369" s="29"/>
      <c r="Y369" s="27"/>
      <c r="Z369" s="30"/>
      <c r="AA369" s="30"/>
      <c r="AB369" s="30"/>
      <c r="AC369" s="30"/>
      <c r="AD369" s="30"/>
      <c r="AE369" s="30"/>
      <c r="AF369" s="30"/>
      <c r="AG369" s="30"/>
      <c r="AH369" s="30"/>
      <c r="AI369" s="30"/>
      <c r="AJ369" s="30"/>
      <c r="AK369" s="30"/>
      <c r="AL369" s="30"/>
      <c r="AM369" s="30"/>
      <c r="AN369" s="30"/>
      <c r="AO369" s="30"/>
      <c r="AP369" s="30"/>
      <c r="AQ369" s="30"/>
    </row>
    <row r="370" spans="1:43">
      <c r="B370" s="116">
        <f t="shared" si="29"/>
        <v>66412.5</v>
      </c>
      <c r="C370" s="117">
        <f t="shared" si="30"/>
        <v>12</v>
      </c>
      <c r="D370" s="118">
        <f t="shared" si="24"/>
        <v>7.5892671506026417E-3</v>
      </c>
      <c r="E370" s="116">
        <f t="shared" si="25"/>
        <v>3006819.5213066633</v>
      </c>
      <c r="F370" s="116">
        <f t="shared" si="26"/>
        <v>8750844.9343131073</v>
      </c>
      <c r="G370" s="117">
        <f t="shared" si="23"/>
        <v>0.35831965344445449</v>
      </c>
      <c r="H370" s="117">
        <f t="shared" si="27"/>
        <v>0.72958387375179434</v>
      </c>
      <c r="I370" s="116">
        <f t="shared" si="28"/>
        <v>91027.91658275282</v>
      </c>
      <c r="K370" s="129"/>
      <c r="L370" s="119"/>
      <c r="M370" s="91"/>
      <c r="N370" s="110"/>
      <c r="O370" s="111"/>
      <c r="P370" s="23"/>
      <c r="Q370" s="164"/>
      <c r="T370" s="62"/>
      <c r="U370" s="30"/>
      <c r="V370" s="30"/>
      <c r="W370" s="30"/>
      <c r="X370" s="29"/>
      <c r="Y370" s="27"/>
      <c r="Z370" s="30"/>
      <c r="AA370" s="30"/>
      <c r="AB370" s="30"/>
      <c r="AC370" s="30"/>
      <c r="AD370" s="30"/>
      <c r="AE370" s="30"/>
      <c r="AF370" s="30"/>
      <c r="AG370" s="30"/>
      <c r="AH370" s="30"/>
      <c r="AI370" s="30"/>
      <c r="AJ370" s="30"/>
      <c r="AK370" s="30"/>
      <c r="AL370" s="30"/>
      <c r="AM370" s="30"/>
      <c r="AN370" s="30"/>
      <c r="AO370" s="30"/>
      <c r="AP370" s="30"/>
      <c r="AQ370" s="30"/>
    </row>
    <row r="371" spans="1:43">
      <c r="B371" s="116">
        <f t="shared" si="29"/>
        <v>67706.25</v>
      </c>
      <c r="C371" s="117">
        <f t="shared" si="30"/>
        <v>12</v>
      </c>
      <c r="D371" s="118">
        <f t="shared" si="24"/>
        <v>8.0418389135352725E-3</v>
      </c>
      <c r="E371" s="116">
        <f t="shared" si="25"/>
        <v>2610398.9920837339</v>
      </c>
      <c r="F371" s="116">
        <f t="shared" si="26"/>
        <v>8419249.7173803318</v>
      </c>
      <c r="G371" s="117">
        <f t="shared" si="23"/>
        <v>0.36368833790908039</v>
      </c>
      <c r="H371" s="117">
        <f t="shared" si="27"/>
        <v>0.69771090981671458</v>
      </c>
      <c r="I371" s="116">
        <f t="shared" si="28"/>
        <v>97040.549384251586</v>
      </c>
      <c r="K371" s="129"/>
      <c r="L371" s="119"/>
      <c r="M371" s="91"/>
      <c r="N371" s="110"/>
      <c r="O371" s="111"/>
      <c r="P371" s="23"/>
      <c r="Q371" s="164"/>
      <c r="T371" s="62"/>
      <c r="U371" s="30"/>
      <c r="V371" s="30"/>
      <c r="W371" s="30"/>
      <c r="X371" s="29"/>
      <c r="Y371" s="38"/>
      <c r="Z371" s="30"/>
      <c r="AA371" s="30"/>
      <c r="AB371" s="30"/>
      <c r="AC371" s="30"/>
      <c r="AD371" s="30"/>
      <c r="AE371" s="30"/>
      <c r="AF371" s="30"/>
      <c r="AG371" s="30"/>
      <c r="AH371" s="30"/>
      <c r="AI371" s="30"/>
      <c r="AJ371" s="30"/>
      <c r="AK371" s="30"/>
      <c r="AL371" s="30"/>
      <c r="AM371" s="30"/>
      <c r="AN371" s="30"/>
      <c r="AO371" s="30"/>
      <c r="AP371" s="30"/>
      <c r="AQ371" s="30"/>
    </row>
    <row r="372" spans="1:43">
      <c r="B372" s="116">
        <f t="shared" si="29"/>
        <v>69000</v>
      </c>
      <c r="C372" s="117">
        <f t="shared" si="30"/>
        <v>30.088169548174029</v>
      </c>
      <c r="D372" s="118">
        <f t="shared" si="24"/>
        <v>8.5714285714285719E-3</v>
      </c>
      <c r="E372" s="116">
        <f t="shared" si="25"/>
        <v>1033742.4368022823</v>
      </c>
      <c r="F372" s="116">
        <f t="shared" si="26"/>
        <v>8050000</v>
      </c>
      <c r="G372" s="117">
        <f t="shared" si="23"/>
        <v>0.3696666666666667</v>
      </c>
      <c r="H372" s="117">
        <f t="shared" si="27"/>
        <v>0.6284927123618802</v>
      </c>
      <c r="I372" s="116">
        <f t="shared" si="28"/>
        <v>109786.47586970021</v>
      </c>
      <c r="K372" s="129"/>
      <c r="L372" s="119"/>
      <c r="M372" s="91"/>
      <c r="N372" s="110"/>
      <c r="O372" s="111"/>
      <c r="P372" s="23"/>
      <c r="Q372" s="164"/>
      <c r="T372" s="62"/>
      <c r="U372" s="30"/>
      <c r="V372" s="30"/>
      <c r="W372" s="30"/>
      <c r="X372" s="29"/>
      <c r="Y372" s="38"/>
      <c r="Z372" s="30"/>
      <c r="AA372" s="30"/>
      <c r="AB372" s="30"/>
      <c r="AC372" s="30"/>
      <c r="AD372" s="30"/>
      <c r="AE372" s="30"/>
      <c r="AF372" s="30"/>
      <c r="AG372" s="30"/>
      <c r="AH372" s="30"/>
      <c r="AI372" s="30"/>
      <c r="AJ372" s="30"/>
      <c r="AK372" s="30"/>
      <c r="AL372" s="30"/>
      <c r="AM372" s="30"/>
      <c r="AN372" s="30"/>
      <c r="AO372" s="30"/>
      <c r="AP372" s="30"/>
      <c r="AQ372" s="30"/>
    </row>
    <row r="373" spans="1:43">
      <c r="B373" s="116">
        <f t="shared" si="29"/>
        <v>70125</v>
      </c>
      <c r="C373" s="117">
        <f t="shared" si="30"/>
        <v>30.088169548174029</v>
      </c>
      <c r="D373" s="118">
        <f t="shared" si="24"/>
        <v>9.9321611342281044E-3</v>
      </c>
      <c r="E373" s="116">
        <f t="shared" si="25"/>
        <v>680807.86433237663</v>
      </c>
      <c r="F373" s="116">
        <f t="shared" si="26"/>
        <v>7060396.9319764655</v>
      </c>
      <c r="G373" s="117">
        <f t="shared" si="23"/>
        <v>0.38568881157752388</v>
      </c>
      <c r="H373" s="117">
        <f t="shared" si="27"/>
        <v>0.55176478139487706</v>
      </c>
      <c r="I373" s="116">
        <f t="shared" si="28"/>
        <v>127092.20009062921</v>
      </c>
      <c r="K373" s="129"/>
      <c r="L373" s="119"/>
      <c r="M373" s="91"/>
      <c r="N373" s="110"/>
      <c r="O373" s="111"/>
      <c r="P373" s="23"/>
      <c r="Q373" s="164"/>
      <c r="T373" s="62"/>
      <c r="U373" s="30"/>
      <c r="V373" s="30"/>
      <c r="W373" s="30"/>
      <c r="X373" s="29"/>
      <c r="Y373" s="38"/>
      <c r="Z373" s="30"/>
      <c r="AA373" s="30"/>
      <c r="AB373" s="30"/>
      <c r="AC373" s="30"/>
      <c r="AD373" s="30"/>
      <c r="AE373" s="30"/>
      <c r="AF373" s="30"/>
      <c r="AG373" s="30"/>
      <c r="AH373" s="30"/>
      <c r="AI373" s="30"/>
      <c r="AJ373" s="30"/>
      <c r="AK373" s="30"/>
      <c r="AL373" s="30"/>
      <c r="AM373" s="30"/>
      <c r="AN373" s="30"/>
      <c r="AO373" s="30"/>
      <c r="AP373" s="30"/>
      <c r="AQ373" s="30"/>
    </row>
    <row r="374" spans="1:43" s="8" customFormat="1">
      <c r="B374" s="116">
        <f t="shared" si="29"/>
        <v>71250</v>
      </c>
      <c r="C374" s="117">
        <f t="shared" si="30"/>
        <v>30.088169548174029</v>
      </c>
      <c r="D374" s="118">
        <f t="shared" si="24"/>
        <v>1.2037802902723041E-2</v>
      </c>
      <c r="E374" s="116">
        <f t="shared" si="25"/>
        <v>445810.80285809195</v>
      </c>
      <c r="F374" s="116">
        <f t="shared" si="26"/>
        <v>5918854.1776076695</v>
      </c>
      <c r="G374" s="117">
        <f t="shared" si="23"/>
        <v>0.40417093236254248</v>
      </c>
      <c r="H374" s="117">
        <f t="shared" si="27"/>
        <v>0.4663873104626618</v>
      </c>
      <c r="I374" s="116">
        <f t="shared" si="28"/>
        <v>152770.02268633584</v>
      </c>
      <c r="K374" s="129"/>
      <c r="L374" s="119"/>
      <c r="M374" s="91"/>
      <c r="N374" s="110"/>
      <c r="O374" s="111"/>
      <c r="P374" s="23"/>
      <c r="Q374" s="164"/>
      <c r="R374" s="111"/>
      <c r="S374" s="111"/>
      <c r="T374" s="163"/>
      <c r="U374" s="82"/>
      <c r="V374" s="82"/>
      <c r="W374" s="82"/>
      <c r="X374" s="29"/>
      <c r="Y374" s="38"/>
      <c r="Z374" s="82"/>
      <c r="AA374" s="82"/>
      <c r="AB374" s="82"/>
      <c r="AC374" s="82"/>
      <c r="AD374" s="82"/>
      <c r="AE374" s="82"/>
      <c r="AF374" s="82"/>
      <c r="AG374" s="82"/>
      <c r="AH374" s="82"/>
      <c r="AI374" s="82"/>
      <c r="AJ374" s="82"/>
      <c r="AK374" s="82"/>
      <c r="AL374" s="82"/>
      <c r="AM374" s="82"/>
      <c r="AN374" s="82"/>
      <c r="AO374" s="82"/>
      <c r="AP374" s="82"/>
      <c r="AQ374" s="82"/>
    </row>
    <row r="375" spans="1:43" s="8" customFormat="1">
      <c r="B375" s="116">
        <f t="shared" si="29"/>
        <v>72375</v>
      </c>
      <c r="C375" s="117">
        <f t="shared" si="30"/>
        <v>30.088169548174029</v>
      </c>
      <c r="D375" s="118">
        <f t="shared" si="24"/>
        <v>1.5307644905978694E-2</v>
      </c>
      <c r="E375" s="116">
        <f t="shared" si="25"/>
        <v>291515.14213548659</v>
      </c>
      <c r="F375" s="116">
        <f t="shared" si="26"/>
        <v>4728029.7161670215</v>
      </c>
      <c r="G375" s="117">
        <f t="shared" si="23"/>
        <v>0.42345094745253398</v>
      </c>
      <c r="H375" s="117">
        <f t="shared" si="27"/>
        <v>0.37751577955909732</v>
      </c>
      <c r="I375" s="116">
        <f t="shared" si="28"/>
        <v>191713.84063608453</v>
      </c>
      <c r="K375" s="129"/>
      <c r="L375" s="119"/>
      <c r="M375" s="91"/>
      <c r="N375" s="110"/>
      <c r="O375" s="111"/>
      <c r="P375" s="23"/>
      <c r="Q375" s="164"/>
      <c r="R375" s="111"/>
      <c r="S375" s="111"/>
      <c r="T375" s="163"/>
      <c r="U375" s="82"/>
      <c r="V375" s="82"/>
      <c r="W375" s="82"/>
      <c r="X375" s="29"/>
      <c r="Y375" s="38"/>
      <c r="Z375" s="82"/>
      <c r="AA375" s="82"/>
      <c r="AB375" s="82"/>
      <c r="AC375" s="82"/>
      <c r="AD375" s="82"/>
      <c r="AE375" s="82"/>
      <c r="AF375" s="82"/>
      <c r="AG375" s="82"/>
      <c r="AH375" s="82"/>
      <c r="AI375" s="82"/>
      <c r="AJ375" s="82"/>
      <c r="AK375" s="82"/>
      <c r="AL375" s="82"/>
      <c r="AM375" s="82"/>
      <c r="AN375" s="82"/>
      <c r="AO375" s="82"/>
      <c r="AP375" s="82"/>
      <c r="AQ375" s="82"/>
    </row>
    <row r="376" spans="1:43" s="8" customFormat="1">
      <c r="B376" s="116">
        <f t="shared" si="29"/>
        <v>73500</v>
      </c>
      <c r="C376" s="117">
        <f t="shared" si="30"/>
        <v>30.088169548174029</v>
      </c>
      <c r="D376" s="118">
        <f t="shared" si="24"/>
        <v>2.0384330866359667E-2</v>
      </c>
      <c r="E376" s="116">
        <f t="shared" si="25"/>
        <v>190882.16853783629</v>
      </c>
      <c r="F376" s="116">
        <f t="shared" si="26"/>
        <v>3605710.7040632521</v>
      </c>
      <c r="G376" s="117">
        <f t="shared" si="23"/>
        <v>0.44162182669611877</v>
      </c>
      <c r="H376" s="117">
        <f t="shared" si="27"/>
        <v>0.29237674571423994</v>
      </c>
      <c r="I376" s="116">
        <f t="shared" si="28"/>
        <v>251387.98169617992</v>
      </c>
      <c r="K376" s="129"/>
      <c r="L376" s="119"/>
      <c r="M376" s="91"/>
      <c r="N376" s="110"/>
      <c r="O376" s="111"/>
      <c r="P376" s="23"/>
      <c r="Q376" s="164"/>
      <c r="R376" s="111"/>
      <c r="S376" s="111"/>
      <c r="T376" s="163"/>
      <c r="U376" s="82"/>
      <c r="V376" s="82"/>
      <c r="W376" s="82"/>
      <c r="X376" s="29"/>
      <c r="Y376" s="38"/>
      <c r="Z376" s="82"/>
      <c r="AA376" s="82"/>
      <c r="AB376" s="82"/>
      <c r="AC376" s="82"/>
      <c r="AD376" s="82"/>
      <c r="AE376" s="82"/>
      <c r="AF376" s="82"/>
      <c r="AG376" s="82"/>
      <c r="AH376" s="82"/>
      <c r="AI376" s="82"/>
      <c r="AJ376" s="82"/>
      <c r="AK376" s="82"/>
      <c r="AL376" s="82"/>
      <c r="AM376" s="82"/>
      <c r="AN376" s="82"/>
      <c r="AO376" s="82"/>
      <c r="AP376" s="82"/>
      <c r="AQ376" s="82"/>
    </row>
    <row r="377" spans="1:43" s="8" customFormat="1">
      <c r="B377" s="116">
        <f t="shared" si="29"/>
        <v>74625</v>
      </c>
      <c r="C377" s="117">
        <f t="shared" si="30"/>
        <v>30.088169548174029</v>
      </c>
      <c r="D377" s="118">
        <f t="shared" si="24"/>
        <v>2.8246339104708265E-2</v>
      </c>
      <c r="E377" s="116">
        <f t="shared" si="25"/>
        <v>125377.14555448659</v>
      </c>
      <c r="F377" s="116">
        <f t="shared" si="26"/>
        <v>2641935.2866708688</v>
      </c>
      <c r="G377" s="117">
        <f t="shared" si="23"/>
        <v>0.45722580964437642</v>
      </c>
      <c r="H377" s="117">
        <f t="shared" si="27"/>
        <v>0.2174824764149994</v>
      </c>
      <c r="I377" s="116">
        <f t="shared" si="28"/>
        <v>343131.09373281553</v>
      </c>
      <c r="K377" s="129"/>
      <c r="L377" s="119"/>
      <c r="M377" s="91"/>
      <c r="N377" s="110"/>
      <c r="O377" s="111"/>
      <c r="P377" s="23"/>
      <c r="Q377" s="164"/>
      <c r="R377" s="111"/>
      <c r="S377" s="111"/>
      <c r="T377" s="163"/>
      <c r="U377" s="82"/>
      <c r="V377" s="82"/>
      <c r="W377" s="82"/>
      <c r="X377" s="29"/>
      <c r="Y377" s="38"/>
      <c r="Z377" s="82"/>
      <c r="AA377" s="82"/>
      <c r="AB377" s="82"/>
      <c r="AC377" s="82"/>
      <c r="AD377" s="82"/>
      <c r="AE377" s="82"/>
      <c r="AF377" s="82"/>
      <c r="AG377" s="82"/>
      <c r="AH377" s="82"/>
      <c r="AI377" s="82"/>
      <c r="AJ377" s="82"/>
      <c r="AK377" s="82"/>
      <c r="AL377" s="82"/>
      <c r="AM377" s="82"/>
      <c r="AN377" s="82"/>
      <c r="AO377" s="82"/>
      <c r="AP377" s="82"/>
      <c r="AQ377" s="82"/>
    </row>
    <row r="378" spans="1:43" s="8" customFormat="1">
      <c r="B378" s="116">
        <f t="shared" si="29"/>
        <v>75750</v>
      </c>
      <c r="C378" s="117">
        <f t="shared" si="30"/>
        <v>30.088169548174029</v>
      </c>
      <c r="D378" s="118">
        <f t="shared" si="24"/>
        <v>4.0373956736257641E-2</v>
      </c>
      <c r="E378" s="116">
        <f t="shared" si="25"/>
        <v>82694.439266774381</v>
      </c>
      <c r="F378" s="116">
        <f t="shared" si="26"/>
        <v>1876209.4707446166</v>
      </c>
      <c r="G378" s="117">
        <f t="shared" si="23"/>
        <v>0.46962327523556335</v>
      </c>
      <c r="H378" s="117">
        <f t="shared" si="27"/>
        <v>0.15648236655470493</v>
      </c>
      <c r="I378" s="116">
        <f t="shared" si="28"/>
        <v>484080.10223642952</v>
      </c>
      <c r="K378" s="129"/>
      <c r="L378" s="119"/>
      <c r="M378" s="91"/>
      <c r="N378" s="110"/>
      <c r="O378" s="111"/>
      <c r="P378" s="23"/>
      <c r="Q378" s="164"/>
      <c r="R378" s="111"/>
      <c r="S378" s="111"/>
      <c r="T378" s="163"/>
      <c r="U378" s="82"/>
      <c r="V378" s="82"/>
      <c r="W378" s="82"/>
      <c r="X378" s="29"/>
      <c r="Y378" s="38"/>
      <c r="Z378" s="82"/>
      <c r="AA378" s="82"/>
      <c r="AB378" s="82"/>
      <c r="AC378" s="82"/>
      <c r="AD378" s="82"/>
      <c r="AE378" s="82"/>
      <c r="AF378" s="82"/>
      <c r="AG378" s="82"/>
      <c r="AH378" s="82"/>
      <c r="AI378" s="82"/>
      <c r="AJ378" s="82"/>
      <c r="AK378" s="82"/>
      <c r="AL378" s="82"/>
      <c r="AM378" s="82"/>
      <c r="AN378" s="82"/>
      <c r="AO378" s="82"/>
      <c r="AP378" s="82"/>
      <c r="AQ378" s="82"/>
    </row>
    <row r="379" spans="1:43" s="8" customFormat="1">
      <c r="B379" s="116">
        <f t="shared" si="29"/>
        <v>76875</v>
      </c>
      <c r="C379" s="117">
        <f t="shared" si="30"/>
        <v>30.088169548174029</v>
      </c>
      <c r="D379" s="118">
        <f t="shared" si="24"/>
        <v>5.8992737876108654E-2</v>
      </c>
      <c r="E379" s="116">
        <f t="shared" si="25"/>
        <v>54802.866437452787</v>
      </c>
      <c r="F379" s="116">
        <f t="shared" si="26"/>
        <v>1303126.4994251681</v>
      </c>
      <c r="G379" s="117">
        <f t="shared" si="23"/>
        <v>0.47890176143787822</v>
      </c>
      <c r="H379" s="117">
        <f t="shared" si="27"/>
        <v>0.10982413520950823</v>
      </c>
      <c r="I379" s="116">
        <f t="shared" si="28"/>
        <v>699982.74835807132</v>
      </c>
      <c r="K379" s="129"/>
      <c r="L379" s="119"/>
      <c r="M379" s="91"/>
      <c r="N379" s="110"/>
      <c r="O379" s="111"/>
      <c r="P379" s="23"/>
      <c r="Q379" s="164"/>
      <c r="R379" s="111"/>
      <c r="S379" s="111"/>
      <c r="T379" s="163"/>
      <c r="U379" s="82"/>
      <c r="V379" s="82"/>
      <c r="W379" s="82"/>
      <c r="X379" s="29"/>
      <c r="Y379" s="38"/>
      <c r="Z379" s="82"/>
      <c r="AA379" s="82"/>
      <c r="AB379" s="82"/>
      <c r="AC379" s="82"/>
      <c r="AD379" s="82"/>
      <c r="AE379" s="82"/>
      <c r="AF379" s="82"/>
      <c r="AG379" s="82"/>
      <c r="AH379" s="82"/>
      <c r="AI379" s="82"/>
      <c r="AJ379" s="82"/>
      <c r="AK379" s="82"/>
      <c r="AL379" s="82"/>
      <c r="AM379" s="82"/>
      <c r="AN379" s="82"/>
      <c r="AO379" s="82"/>
      <c r="AP379" s="82"/>
      <c r="AQ379" s="82"/>
    </row>
    <row r="380" spans="1:43" s="8" customFormat="1">
      <c r="B380" s="116">
        <f t="shared" si="29"/>
        <v>78000</v>
      </c>
      <c r="C380" s="117">
        <f t="shared" si="30"/>
        <v>30.088169548174029</v>
      </c>
      <c r="D380" s="118">
        <f t="shared" si="24"/>
        <v>8.7428571428571425E-2</v>
      </c>
      <c r="E380" s="116">
        <f t="shared" si="25"/>
        <v>36504.118752859387</v>
      </c>
      <c r="F380" s="116">
        <f t="shared" si="26"/>
        <v>892156.86274509807</v>
      </c>
      <c r="G380" s="117">
        <f t="shared" si="23"/>
        <v>0.48555555555555557</v>
      </c>
      <c r="H380" s="117">
        <f t="shared" si="27"/>
        <v>7.5780158554073412E-2</v>
      </c>
      <c r="I380" s="116">
        <f t="shared" si="28"/>
        <v>1029293.1749983422</v>
      </c>
      <c r="K380" s="129"/>
      <c r="L380" s="119"/>
      <c r="M380" s="91"/>
      <c r="N380" s="110"/>
      <c r="O380" s="111"/>
      <c r="P380" s="23"/>
      <c r="Q380" s="164"/>
      <c r="R380" s="111"/>
      <c r="S380" s="111"/>
      <c r="T380" s="163"/>
      <c r="U380" s="82"/>
      <c r="V380" s="82"/>
      <c r="W380" s="82"/>
      <c r="X380" s="29"/>
      <c r="Y380" s="38"/>
      <c r="Z380" s="82"/>
      <c r="AA380" s="82"/>
      <c r="AB380" s="82"/>
      <c r="AC380" s="82"/>
      <c r="AD380" s="82"/>
      <c r="AE380" s="82"/>
      <c r="AF380" s="82"/>
      <c r="AG380" s="82"/>
      <c r="AH380" s="82"/>
      <c r="AI380" s="82"/>
      <c r="AJ380" s="82"/>
      <c r="AK380" s="82"/>
      <c r="AL380" s="82"/>
      <c r="AM380" s="82"/>
      <c r="AN380" s="82"/>
      <c r="AO380" s="82"/>
      <c r="AP380" s="82"/>
      <c r="AQ380" s="82"/>
    </row>
    <row r="381" spans="1:43" s="8" customFormat="1">
      <c r="A381" s="38"/>
      <c r="B381" s="117"/>
      <c r="C381" s="118"/>
      <c r="D381" s="116"/>
      <c r="E381" s="117"/>
      <c r="F381" s="117"/>
      <c r="G381" s="116"/>
      <c r="H381" s="38"/>
      <c r="I381" s="6"/>
      <c r="J381" s="23"/>
      <c r="K381" s="23"/>
      <c r="L381" s="119"/>
      <c r="M381" s="91"/>
      <c r="N381" s="110"/>
      <c r="O381" s="111"/>
      <c r="P381" s="23"/>
      <c r="Q381" s="164"/>
      <c r="R381" s="111"/>
      <c r="S381" s="111"/>
      <c r="T381" s="163"/>
      <c r="U381" s="82"/>
      <c r="V381" s="82"/>
      <c r="W381" s="82"/>
      <c r="X381" s="29"/>
      <c r="Y381" s="38"/>
      <c r="Z381" s="82"/>
      <c r="AA381" s="82"/>
      <c r="AB381" s="82"/>
      <c r="AC381" s="82"/>
      <c r="AD381" s="82"/>
      <c r="AE381" s="82"/>
      <c r="AF381" s="82"/>
      <c r="AG381" s="82"/>
      <c r="AH381" s="82"/>
      <c r="AI381" s="82"/>
      <c r="AJ381" s="82"/>
      <c r="AK381" s="82"/>
      <c r="AL381" s="82"/>
      <c r="AM381" s="82"/>
      <c r="AN381" s="82"/>
      <c r="AO381" s="82"/>
      <c r="AP381" s="82"/>
      <c r="AQ381" s="82"/>
    </row>
    <row r="382" spans="1:43" s="8" customFormat="1">
      <c r="A382" s="116"/>
      <c r="B382" s="117"/>
      <c r="C382" s="118"/>
      <c r="D382" s="116"/>
      <c r="E382" s="117"/>
      <c r="F382" s="117"/>
      <c r="G382" s="116"/>
      <c r="H382" s="38"/>
      <c r="I382" s="6"/>
      <c r="J382" s="23"/>
      <c r="K382" s="23"/>
      <c r="L382" s="119"/>
      <c r="M382" s="91"/>
      <c r="N382" s="110"/>
      <c r="O382" s="111"/>
      <c r="P382" s="23"/>
      <c r="Q382" s="164"/>
      <c r="R382" s="111"/>
      <c r="S382" s="111"/>
      <c r="T382" s="163"/>
      <c r="U382" s="82"/>
      <c r="V382" s="82"/>
      <c r="W382" s="82"/>
      <c r="X382" s="29"/>
      <c r="Y382" s="38"/>
      <c r="Z382" s="82"/>
      <c r="AA382" s="82"/>
      <c r="AB382" s="82"/>
      <c r="AC382" s="82"/>
      <c r="AD382" s="82"/>
      <c r="AE382" s="82"/>
      <c r="AF382" s="82"/>
      <c r="AG382" s="82"/>
      <c r="AH382" s="82"/>
      <c r="AI382" s="82"/>
      <c r="AJ382" s="82"/>
      <c r="AK382" s="82"/>
      <c r="AL382" s="82"/>
      <c r="AM382" s="82"/>
      <c r="AN382" s="82"/>
      <c r="AO382" s="82"/>
      <c r="AP382" s="82"/>
      <c r="AQ382" s="82"/>
    </row>
    <row r="383" spans="1:43" s="8" customFormat="1">
      <c r="A383" s="34"/>
      <c r="B383" s="116"/>
      <c r="C383" s="117"/>
      <c r="D383" s="118"/>
      <c r="E383" s="116"/>
      <c r="F383" s="117"/>
      <c r="G383" s="117"/>
      <c r="H383" s="116"/>
      <c r="I383" s="6"/>
      <c r="J383" s="23"/>
      <c r="K383" s="23"/>
      <c r="L383" s="119"/>
      <c r="M383" s="91"/>
      <c r="N383" s="110"/>
      <c r="O383" s="111"/>
      <c r="P383" s="23"/>
      <c r="Q383" s="164"/>
      <c r="R383" s="111"/>
      <c r="S383" s="111"/>
      <c r="T383" s="163"/>
      <c r="U383" s="82"/>
      <c r="V383" s="82"/>
      <c r="W383" s="82"/>
      <c r="X383" s="29"/>
      <c r="Y383" s="38"/>
      <c r="Z383" s="82"/>
      <c r="AA383" s="82"/>
      <c r="AB383" s="82"/>
      <c r="AC383" s="82"/>
      <c r="AD383" s="82"/>
      <c r="AE383" s="82"/>
      <c r="AF383" s="82"/>
      <c r="AG383" s="82"/>
      <c r="AH383" s="82"/>
      <c r="AI383" s="82"/>
      <c r="AJ383" s="82"/>
      <c r="AK383" s="82"/>
      <c r="AL383" s="82"/>
      <c r="AM383" s="82"/>
      <c r="AN383" s="82"/>
      <c r="AO383" s="82"/>
      <c r="AP383" s="82"/>
      <c r="AQ383" s="82"/>
    </row>
    <row r="384" spans="1:43" s="8" customFormat="1">
      <c r="A384" s="34"/>
      <c r="B384" s="116"/>
      <c r="C384" s="117"/>
      <c r="D384" s="118"/>
      <c r="E384" s="116"/>
      <c r="F384" s="117"/>
      <c r="G384" s="117"/>
      <c r="H384" s="116"/>
      <c r="I384" s="6"/>
      <c r="J384" s="23"/>
      <c r="K384" s="23"/>
      <c r="L384" s="119"/>
      <c r="M384" s="91"/>
      <c r="N384" s="110"/>
      <c r="O384" s="111"/>
      <c r="P384" s="23"/>
      <c r="Q384" s="164"/>
      <c r="R384" s="111"/>
      <c r="S384" s="111"/>
      <c r="T384" s="163"/>
      <c r="U384" s="82"/>
      <c r="V384" s="82"/>
      <c r="W384" s="82"/>
      <c r="X384" s="29"/>
      <c r="Y384" s="38"/>
      <c r="Z384" s="82"/>
      <c r="AA384" s="82"/>
      <c r="AB384" s="82"/>
      <c r="AC384" s="82"/>
      <c r="AD384" s="82"/>
      <c r="AE384" s="82"/>
      <c r="AF384" s="82"/>
      <c r="AG384" s="82"/>
      <c r="AH384" s="82"/>
      <c r="AI384" s="82"/>
      <c r="AJ384" s="82"/>
      <c r="AK384" s="82"/>
      <c r="AL384" s="82"/>
      <c r="AM384" s="82"/>
      <c r="AN384" s="82"/>
      <c r="AO384" s="82"/>
      <c r="AP384" s="82"/>
      <c r="AQ384" s="82"/>
    </row>
    <row r="385" spans="1:43" s="8" customFormat="1">
      <c r="A385" s="34"/>
      <c r="B385" s="116"/>
      <c r="C385" s="117"/>
      <c r="D385" s="118"/>
      <c r="E385" s="116"/>
      <c r="F385" s="117"/>
      <c r="G385" s="117"/>
      <c r="H385" s="116"/>
      <c r="I385" s="6"/>
      <c r="J385" s="23"/>
      <c r="K385" s="23"/>
      <c r="L385" s="119"/>
      <c r="M385" s="91"/>
      <c r="N385" s="110"/>
      <c r="O385" s="111"/>
      <c r="P385" s="23"/>
      <c r="Q385" s="164"/>
      <c r="R385" s="111"/>
      <c r="S385" s="111"/>
      <c r="T385" s="163"/>
      <c r="U385" s="82"/>
      <c r="V385" s="82"/>
      <c r="W385" s="82"/>
      <c r="X385" s="29"/>
      <c r="Y385" s="38"/>
      <c r="Z385" s="82"/>
      <c r="AA385" s="82"/>
      <c r="AB385" s="82"/>
      <c r="AC385" s="82"/>
      <c r="AD385" s="82"/>
      <c r="AE385" s="82"/>
      <c r="AF385" s="82"/>
      <c r="AG385" s="82"/>
      <c r="AH385" s="82"/>
      <c r="AI385" s="82"/>
      <c r="AJ385" s="82"/>
      <c r="AK385" s="82"/>
      <c r="AL385" s="82"/>
      <c r="AM385" s="82"/>
      <c r="AN385" s="82"/>
      <c r="AO385" s="82"/>
      <c r="AP385" s="82"/>
      <c r="AQ385" s="82"/>
    </row>
    <row r="386" spans="1:43" s="8" customFormat="1">
      <c r="A386" s="34"/>
      <c r="B386" s="116"/>
      <c r="C386" s="117"/>
      <c r="D386" s="118"/>
      <c r="E386" s="116"/>
      <c r="F386" s="117"/>
      <c r="G386" s="117"/>
      <c r="H386" s="116"/>
      <c r="I386" s="6"/>
      <c r="J386" s="23"/>
      <c r="K386" s="23"/>
      <c r="L386" s="119"/>
      <c r="M386" s="91"/>
      <c r="N386" s="110"/>
      <c r="O386" s="111"/>
      <c r="P386" s="23"/>
      <c r="Q386" s="164"/>
      <c r="R386" s="111"/>
      <c r="S386" s="111"/>
      <c r="T386" s="163"/>
      <c r="U386" s="82"/>
      <c r="V386" s="82"/>
      <c r="W386" s="82"/>
      <c r="X386" s="29"/>
      <c r="Y386" s="38"/>
      <c r="Z386" s="82"/>
      <c r="AA386" s="82"/>
      <c r="AB386" s="82"/>
      <c r="AC386" s="82"/>
      <c r="AD386" s="82"/>
      <c r="AE386" s="82"/>
      <c r="AF386" s="82"/>
      <c r="AG386" s="82"/>
      <c r="AH386" s="82"/>
      <c r="AI386" s="82"/>
      <c r="AJ386" s="82"/>
      <c r="AK386" s="82"/>
      <c r="AL386" s="82"/>
      <c r="AM386" s="82"/>
      <c r="AN386" s="82"/>
      <c r="AO386" s="82"/>
      <c r="AP386" s="82"/>
      <c r="AQ386" s="82"/>
    </row>
    <row r="387" spans="1:43" s="8" customFormat="1">
      <c r="A387" s="34"/>
      <c r="B387" s="116"/>
      <c r="C387" s="117"/>
      <c r="D387" s="118"/>
      <c r="E387" s="116"/>
      <c r="F387" s="117"/>
      <c r="G387" s="117"/>
      <c r="H387" s="116"/>
      <c r="I387" s="6"/>
      <c r="J387" s="23"/>
      <c r="K387" s="23"/>
      <c r="L387" s="119"/>
      <c r="M387" s="91"/>
      <c r="N387" s="110"/>
      <c r="O387" s="111"/>
      <c r="P387" s="23"/>
      <c r="Q387" s="164"/>
      <c r="R387" s="111"/>
      <c r="S387" s="111"/>
      <c r="T387" s="163"/>
      <c r="U387" s="82"/>
      <c r="V387" s="82"/>
      <c r="W387" s="82"/>
      <c r="X387" s="29"/>
      <c r="Y387" s="38"/>
      <c r="Z387" s="82"/>
      <c r="AA387" s="82"/>
      <c r="AB387" s="82"/>
      <c r="AC387" s="82"/>
      <c r="AD387" s="82"/>
      <c r="AE387" s="82"/>
      <c r="AF387" s="82"/>
      <c r="AG387" s="82"/>
      <c r="AH387" s="82"/>
      <c r="AI387" s="82"/>
      <c r="AJ387" s="82"/>
      <c r="AK387" s="82"/>
      <c r="AL387" s="82"/>
      <c r="AM387" s="82"/>
      <c r="AN387" s="82"/>
      <c r="AO387" s="82"/>
      <c r="AP387" s="82"/>
      <c r="AQ387" s="82"/>
    </row>
    <row r="388" spans="1:43" s="8" customFormat="1">
      <c r="A388" s="34"/>
      <c r="B388" s="116"/>
      <c r="C388" s="117"/>
      <c r="D388" s="118"/>
      <c r="E388" s="116"/>
      <c r="F388" s="117"/>
      <c r="G388" s="117"/>
      <c r="H388" s="116"/>
      <c r="I388" s="6"/>
      <c r="J388" s="23"/>
      <c r="K388" s="23"/>
      <c r="L388" s="119"/>
      <c r="M388" s="91"/>
      <c r="N388" s="110"/>
      <c r="O388" s="111"/>
      <c r="P388" s="23"/>
      <c r="Q388" s="164"/>
      <c r="R388" s="111"/>
      <c r="S388" s="111"/>
      <c r="T388" s="163"/>
      <c r="U388" s="82"/>
      <c r="V388" s="82"/>
      <c r="W388" s="82"/>
      <c r="X388" s="29"/>
      <c r="Y388" s="38"/>
      <c r="Z388" s="82"/>
      <c r="AA388" s="82"/>
      <c r="AB388" s="82"/>
      <c r="AC388" s="82"/>
      <c r="AD388" s="82"/>
      <c r="AE388" s="82"/>
      <c r="AF388" s="82"/>
      <c r="AG388" s="82"/>
      <c r="AH388" s="82"/>
      <c r="AI388" s="82"/>
      <c r="AJ388" s="82"/>
      <c r="AK388" s="82"/>
      <c r="AL388" s="82"/>
      <c r="AM388" s="82"/>
      <c r="AN388" s="82"/>
      <c r="AO388" s="82"/>
      <c r="AP388" s="82"/>
      <c r="AQ388" s="82"/>
    </row>
    <row r="389" spans="1:43" s="8" customFormat="1">
      <c r="A389" s="34"/>
      <c r="B389" s="116"/>
      <c r="C389" s="117"/>
      <c r="D389" s="118"/>
      <c r="E389" s="116"/>
      <c r="F389" s="117"/>
      <c r="G389" s="117"/>
      <c r="H389" s="116"/>
      <c r="I389" s="6"/>
      <c r="J389" s="23"/>
      <c r="K389" s="23"/>
      <c r="L389" s="119"/>
      <c r="M389" s="91"/>
      <c r="N389" s="110"/>
      <c r="O389" s="111"/>
      <c r="P389" s="23"/>
      <c r="Q389" s="164"/>
      <c r="R389" s="111"/>
      <c r="S389" s="111"/>
      <c r="T389" s="163"/>
      <c r="U389" s="82"/>
      <c r="V389" s="82"/>
      <c r="W389" s="82"/>
      <c r="X389" s="29"/>
      <c r="Y389" s="38"/>
      <c r="Z389" s="82"/>
      <c r="AA389" s="82"/>
      <c r="AB389" s="82"/>
      <c r="AC389" s="82"/>
      <c r="AD389" s="82"/>
      <c r="AE389" s="82"/>
      <c r="AF389" s="82"/>
      <c r="AG389" s="82"/>
      <c r="AH389" s="82"/>
      <c r="AI389" s="82"/>
      <c r="AJ389" s="82"/>
      <c r="AK389" s="82"/>
      <c r="AL389" s="82"/>
      <c r="AM389" s="82"/>
      <c r="AN389" s="82"/>
      <c r="AO389" s="82"/>
      <c r="AP389" s="82"/>
      <c r="AQ389" s="82"/>
    </row>
    <row r="390" spans="1:43" s="8" customFormat="1">
      <c r="A390" s="34"/>
      <c r="B390" s="116"/>
      <c r="C390" s="117"/>
      <c r="D390" s="118"/>
      <c r="E390" s="116"/>
      <c r="F390" s="117"/>
      <c r="G390" s="117"/>
      <c r="H390" s="116"/>
      <c r="I390" s="6"/>
      <c r="J390" s="23"/>
      <c r="K390" s="23"/>
      <c r="L390" s="119"/>
      <c r="M390" s="91"/>
      <c r="N390" s="110"/>
      <c r="O390" s="111"/>
      <c r="P390" s="23"/>
      <c r="Q390" s="164"/>
      <c r="R390" s="111"/>
      <c r="S390" s="111"/>
      <c r="T390" s="163"/>
      <c r="U390" s="82"/>
      <c r="V390" s="82"/>
      <c r="W390" s="82"/>
      <c r="X390" s="29"/>
      <c r="Y390" s="38"/>
      <c r="Z390" s="82"/>
      <c r="AA390" s="82"/>
      <c r="AB390" s="82"/>
      <c r="AC390" s="82"/>
      <c r="AD390" s="82"/>
      <c r="AE390" s="82"/>
      <c r="AF390" s="82"/>
      <c r="AG390" s="82"/>
      <c r="AH390" s="82"/>
      <c r="AI390" s="82"/>
      <c r="AJ390" s="82"/>
      <c r="AK390" s="82"/>
      <c r="AL390" s="82"/>
      <c r="AM390" s="82"/>
      <c r="AN390" s="82"/>
      <c r="AO390" s="82"/>
      <c r="AP390" s="82"/>
      <c r="AQ390" s="82"/>
    </row>
    <row r="391" spans="1:43" s="8" customFormat="1">
      <c r="A391" s="34"/>
      <c r="B391" s="116"/>
      <c r="C391" s="117"/>
      <c r="D391" s="118"/>
      <c r="E391" s="116"/>
      <c r="F391" s="117"/>
      <c r="G391" s="117"/>
      <c r="H391" s="116"/>
      <c r="I391" s="6"/>
      <c r="J391" s="23"/>
      <c r="K391" s="23"/>
      <c r="L391" s="119"/>
      <c r="M391" s="91"/>
      <c r="N391" s="110"/>
      <c r="O391" s="111"/>
      <c r="P391" s="23"/>
      <c r="Q391" s="164"/>
      <c r="R391" s="111"/>
      <c r="S391" s="111"/>
      <c r="T391" s="163"/>
      <c r="U391" s="82"/>
      <c r="V391" s="82"/>
      <c r="W391" s="82"/>
      <c r="X391" s="29"/>
      <c r="Y391" s="38"/>
      <c r="Z391" s="82"/>
      <c r="AA391" s="82"/>
      <c r="AB391" s="82"/>
      <c r="AC391" s="82"/>
      <c r="AD391" s="82"/>
      <c r="AE391" s="82"/>
      <c r="AF391" s="82"/>
      <c r="AG391" s="82"/>
      <c r="AH391" s="82"/>
      <c r="AI391" s="82"/>
      <c r="AJ391" s="82"/>
      <c r="AK391" s="82"/>
      <c r="AL391" s="82"/>
      <c r="AM391" s="82"/>
      <c r="AN391" s="82"/>
      <c r="AO391" s="82"/>
      <c r="AP391" s="82"/>
      <c r="AQ391" s="82"/>
    </row>
    <row r="392" spans="1:43" s="8" customFormat="1">
      <c r="A392" s="34"/>
      <c r="B392" s="116"/>
      <c r="C392" s="117"/>
      <c r="D392" s="118"/>
      <c r="E392" s="116"/>
      <c r="F392" s="117"/>
      <c r="G392" s="117"/>
      <c r="H392" s="116"/>
      <c r="I392" s="6"/>
      <c r="J392" s="23"/>
      <c r="K392" s="23"/>
      <c r="L392" s="119"/>
      <c r="M392" s="91"/>
      <c r="N392" s="110"/>
      <c r="O392" s="111"/>
      <c r="P392" s="23"/>
      <c r="Q392" s="164"/>
      <c r="R392" s="111"/>
      <c r="S392" s="111"/>
      <c r="T392" s="163"/>
      <c r="U392" s="82"/>
      <c r="V392" s="82"/>
      <c r="W392" s="82"/>
      <c r="X392" s="29"/>
      <c r="Y392" s="38"/>
      <c r="Z392" s="82"/>
      <c r="AA392" s="82"/>
      <c r="AB392" s="82"/>
      <c r="AC392" s="82"/>
      <c r="AD392" s="82"/>
      <c r="AE392" s="82"/>
      <c r="AF392" s="82"/>
      <c r="AG392" s="82"/>
      <c r="AH392" s="82"/>
      <c r="AI392" s="82"/>
      <c r="AJ392" s="82"/>
      <c r="AK392" s="82"/>
      <c r="AL392" s="82"/>
      <c r="AM392" s="82"/>
      <c r="AN392" s="82"/>
      <c r="AO392" s="82"/>
      <c r="AP392" s="82"/>
      <c r="AQ392" s="82"/>
    </row>
    <row r="393" spans="1:43" s="8" customFormat="1">
      <c r="A393" s="34"/>
      <c r="B393" s="116"/>
      <c r="C393" s="117"/>
      <c r="D393" s="118"/>
      <c r="E393" s="116"/>
      <c r="F393" s="117"/>
      <c r="G393" s="117"/>
      <c r="H393" s="116"/>
      <c r="I393" s="6"/>
      <c r="J393" s="23"/>
      <c r="K393" s="23"/>
      <c r="L393" s="119"/>
      <c r="M393" s="91"/>
      <c r="N393" s="110"/>
      <c r="O393" s="111"/>
      <c r="P393" s="23"/>
      <c r="Q393" s="164"/>
      <c r="R393" s="111"/>
      <c r="S393" s="111"/>
      <c r="T393" s="163"/>
      <c r="U393" s="82"/>
      <c r="V393" s="82"/>
      <c r="W393" s="82"/>
      <c r="X393" s="29"/>
      <c r="Y393" s="38"/>
      <c r="Z393" s="82"/>
      <c r="AA393" s="82"/>
      <c r="AB393" s="82"/>
      <c r="AC393" s="82"/>
      <c r="AD393" s="82"/>
      <c r="AE393" s="82"/>
      <c r="AF393" s="82"/>
      <c r="AG393" s="82"/>
      <c r="AH393" s="82"/>
      <c r="AI393" s="82"/>
      <c r="AJ393" s="82"/>
      <c r="AK393" s="82"/>
      <c r="AL393" s="82"/>
      <c r="AM393" s="82"/>
      <c r="AN393" s="82"/>
      <c r="AO393" s="82"/>
      <c r="AP393" s="82"/>
      <c r="AQ393" s="82"/>
    </row>
    <row r="394" spans="1:43" s="8" customFormat="1">
      <c r="A394" s="27"/>
      <c r="C394" s="80"/>
      <c r="D394" s="27"/>
      <c r="E394" s="27"/>
      <c r="F394" s="27"/>
      <c r="G394" s="80"/>
      <c r="H394" s="27"/>
      <c r="I394" s="27"/>
      <c r="J394" s="27"/>
      <c r="K394" s="27"/>
      <c r="L394" s="119"/>
      <c r="M394" s="91"/>
      <c r="N394" s="110"/>
      <c r="O394" s="111"/>
      <c r="P394" s="23"/>
      <c r="Q394" s="164"/>
      <c r="R394" s="111"/>
      <c r="S394" s="111"/>
      <c r="T394" s="163"/>
      <c r="U394" s="82"/>
      <c r="V394" s="82"/>
      <c r="W394" s="82"/>
      <c r="X394" s="29"/>
      <c r="Y394" s="38"/>
      <c r="Z394" s="82"/>
      <c r="AA394" s="82"/>
      <c r="AB394" s="82"/>
      <c r="AC394" s="82"/>
      <c r="AD394" s="82"/>
      <c r="AE394" s="82"/>
      <c r="AF394" s="82"/>
      <c r="AG394" s="82"/>
      <c r="AH394" s="82"/>
      <c r="AI394" s="82"/>
      <c r="AJ394" s="82"/>
      <c r="AK394" s="82"/>
      <c r="AL394" s="82"/>
      <c r="AM394" s="82"/>
      <c r="AN394" s="82"/>
      <c r="AO394" s="82"/>
      <c r="AP394" s="82"/>
      <c r="AQ394" s="82"/>
    </row>
    <row r="395" spans="1:43" s="8" customFormat="1">
      <c r="A395" s="27"/>
      <c r="B395" s="193"/>
      <c r="C395" s="80"/>
      <c r="D395" s="28"/>
      <c r="E395" s="28"/>
      <c r="F395" s="194" t="s">
        <v>276</v>
      </c>
      <c r="G395" s="80"/>
      <c r="H395" s="28"/>
      <c r="I395" s="28"/>
      <c r="J395" s="28"/>
      <c r="K395" s="27"/>
      <c r="L395" s="119"/>
      <c r="M395" s="91"/>
      <c r="N395" s="110"/>
      <c r="O395" s="111"/>
      <c r="P395" s="23"/>
      <c r="Q395" s="164"/>
      <c r="R395" s="111"/>
      <c r="S395" s="111"/>
      <c r="T395" s="163"/>
      <c r="U395" s="82"/>
      <c r="V395" s="82"/>
      <c r="W395" s="82"/>
      <c r="X395" s="29"/>
      <c r="Y395" s="38"/>
      <c r="Z395" s="82"/>
      <c r="AA395" s="82"/>
      <c r="AB395" s="82"/>
      <c r="AC395" s="82"/>
      <c r="AD395" s="82"/>
      <c r="AE395" s="82"/>
      <c r="AF395" s="82"/>
      <c r="AG395" s="82"/>
      <c r="AH395" s="82"/>
      <c r="AI395" s="82"/>
      <c r="AJ395" s="82"/>
      <c r="AK395" s="82"/>
      <c r="AL395" s="82"/>
      <c r="AM395" s="82"/>
      <c r="AN395" s="82"/>
      <c r="AO395" s="82"/>
      <c r="AP395" s="82"/>
      <c r="AQ395" s="82"/>
    </row>
    <row r="396" spans="1:43">
      <c r="A396" s="27"/>
      <c r="B396" s="28"/>
      <c r="C396" s="28"/>
      <c r="D396" s="28"/>
      <c r="E396" s="28"/>
      <c r="F396" s="204" t="s">
        <v>292</v>
      </c>
      <c r="G396" s="28"/>
      <c r="H396" s="28"/>
      <c r="I396" s="28"/>
      <c r="J396" s="28"/>
      <c r="K396" s="27"/>
      <c r="L396" s="19"/>
      <c r="M396" s="160"/>
      <c r="N396" s="110"/>
      <c r="O396" s="111"/>
      <c r="P396" s="23"/>
      <c r="Q396" s="164"/>
      <c r="T396" s="62"/>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row>
    <row r="397" spans="1:43">
      <c r="A397" s="146"/>
      <c r="B397" s="141"/>
      <c r="C397" s="141"/>
      <c r="D397" s="141"/>
      <c r="E397" s="13" t="s">
        <v>47</v>
      </c>
      <c r="F397" s="14" t="str">
        <f>$C$1</f>
        <v>R. Abbott</v>
      </c>
      <c r="G397" s="15"/>
      <c r="H397" s="16"/>
      <c r="I397" s="13" t="s">
        <v>53</v>
      </c>
      <c r="J397" s="17" t="str">
        <f>$G$2</f>
        <v>AA-SM-000-001</v>
      </c>
      <c r="K397" s="16"/>
      <c r="L397" s="18"/>
      <c r="N397" s="110"/>
      <c r="O397" s="111"/>
      <c r="P397" s="23"/>
      <c r="Q397" s="164"/>
      <c r="T397" s="62"/>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row>
    <row r="398" spans="1:43">
      <c r="A398" s="141"/>
      <c r="B398" s="141"/>
      <c r="C398" s="141"/>
      <c r="D398" s="141"/>
      <c r="E398" s="13" t="s">
        <v>49</v>
      </c>
      <c r="F398" s="16" t="str">
        <f>$C$2</f>
        <v xml:space="preserve"> </v>
      </c>
      <c r="G398" s="15"/>
      <c r="H398" s="16"/>
      <c r="I398" s="13" t="s">
        <v>54</v>
      </c>
      <c r="J398" s="16" t="str">
        <f>$G$3</f>
        <v>C</v>
      </c>
      <c r="K398" s="16"/>
      <c r="L398" s="18"/>
      <c r="M398" s="10">
        <v>1</v>
      </c>
      <c r="N398" s="110"/>
      <c r="O398" s="111"/>
      <c r="P398" s="23"/>
      <c r="Q398" s="164"/>
      <c r="T398" s="62"/>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row>
    <row r="399" spans="1:43">
      <c r="A399" s="141"/>
      <c r="B399" s="141"/>
      <c r="C399" s="141"/>
      <c r="D399" s="141"/>
      <c r="E399" s="13" t="s">
        <v>0</v>
      </c>
      <c r="F399" s="16" t="str">
        <f>$C$3</f>
        <v>Jul-10</v>
      </c>
      <c r="G399" s="15"/>
      <c r="H399" s="16"/>
      <c r="I399" s="13" t="s">
        <v>55</v>
      </c>
      <c r="J399" s="14" t="str">
        <f>L399&amp;" of "&amp;$G$1</f>
        <v>8 of 1</v>
      </c>
      <c r="K399" s="16"/>
      <c r="L399" s="18">
        <f>SUM($M$1:M398)</f>
        <v>8</v>
      </c>
      <c r="N399" s="110"/>
      <c r="O399" s="111"/>
      <c r="P399" s="23"/>
      <c r="Q399" s="164"/>
      <c r="T399" s="62"/>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row>
    <row r="400" spans="1:43" s="8" customFormat="1">
      <c r="A400" s="3"/>
      <c r="B400" s="3"/>
      <c r="C400" s="3"/>
      <c r="D400" s="3"/>
      <c r="E400" s="142" t="s">
        <v>291</v>
      </c>
      <c r="F400" s="147" t="str">
        <f>$C$5</f>
        <v>STANDARD SPREADSHEET METHOD</v>
      </c>
      <c r="G400" s="15"/>
      <c r="H400" s="15"/>
      <c r="I400" s="15"/>
      <c r="J400" s="15"/>
      <c r="K400" s="15"/>
      <c r="L400" s="18"/>
      <c r="M400" s="10"/>
      <c r="N400" s="110"/>
      <c r="O400" s="111"/>
      <c r="P400" s="23"/>
      <c r="Q400" s="164"/>
      <c r="R400" s="111"/>
      <c r="S400" s="111"/>
      <c r="T400" s="163"/>
      <c r="U400" s="82"/>
      <c r="V400" s="82"/>
      <c r="W400" s="82"/>
      <c r="X400" s="29"/>
      <c r="Y400" s="38"/>
      <c r="Z400" s="82"/>
      <c r="AA400" s="82"/>
      <c r="AB400" s="82"/>
      <c r="AC400" s="82"/>
      <c r="AD400" s="82"/>
      <c r="AE400" s="82"/>
      <c r="AF400" s="82"/>
      <c r="AG400" s="82"/>
      <c r="AH400" s="82"/>
      <c r="AI400" s="82"/>
      <c r="AJ400" s="82"/>
      <c r="AK400" s="82"/>
      <c r="AL400" s="82"/>
      <c r="AM400" s="82"/>
      <c r="AN400" s="82"/>
      <c r="AO400" s="82"/>
      <c r="AP400" s="82"/>
      <c r="AQ400" s="82"/>
    </row>
    <row r="401" spans="1:43" s="8" customFormat="1" ht="15.6">
      <c r="A401" s="34"/>
      <c r="B401" s="26" t="str">
        <f>$G$4</f>
        <v>ALUMINUM MATERIAL DATA</v>
      </c>
      <c r="C401" s="117"/>
      <c r="D401" s="118"/>
      <c r="E401" s="116"/>
      <c r="F401" s="117"/>
      <c r="G401" s="117"/>
      <c r="H401" s="116"/>
      <c r="I401" s="6"/>
      <c r="J401" s="23"/>
      <c r="K401" s="23"/>
      <c r="L401" s="119"/>
      <c r="M401" s="91"/>
      <c r="N401" s="110"/>
      <c r="O401" s="111"/>
      <c r="P401" s="23"/>
      <c r="Q401" s="164"/>
      <c r="R401" s="111"/>
      <c r="S401" s="111"/>
      <c r="T401" s="163"/>
      <c r="U401" s="82"/>
      <c r="V401" s="82"/>
      <c r="W401" s="82"/>
      <c r="X401" s="29"/>
      <c r="Y401" s="38"/>
      <c r="Z401" s="82"/>
      <c r="AA401" s="82"/>
      <c r="AB401" s="82"/>
      <c r="AC401" s="82"/>
      <c r="AD401" s="82"/>
      <c r="AE401" s="82"/>
      <c r="AF401" s="82"/>
      <c r="AG401" s="82"/>
      <c r="AH401" s="82"/>
      <c r="AI401" s="82"/>
      <c r="AJ401" s="82"/>
      <c r="AK401" s="82"/>
      <c r="AL401" s="82"/>
      <c r="AM401" s="82"/>
      <c r="AN401" s="82"/>
      <c r="AO401" s="82"/>
      <c r="AP401" s="82"/>
      <c r="AQ401" s="82"/>
    </row>
    <row r="402" spans="1:43" s="8" customFormat="1">
      <c r="A402" s="25"/>
      <c r="B402" s="225" t="s">
        <v>296</v>
      </c>
      <c r="C402" s="225"/>
      <c r="L402" s="119"/>
      <c r="M402" s="91"/>
      <c r="N402" s="110"/>
      <c r="O402" s="111"/>
      <c r="P402" s="23"/>
      <c r="Q402" s="164"/>
      <c r="R402" s="111"/>
      <c r="S402" s="111"/>
      <c r="T402" s="163"/>
      <c r="U402" s="82"/>
      <c r="V402" s="82"/>
      <c r="W402" s="82"/>
      <c r="X402" s="29"/>
      <c r="Y402" s="38"/>
      <c r="Z402" s="82"/>
      <c r="AA402" s="82"/>
      <c r="AB402" s="82"/>
      <c r="AC402" s="82"/>
      <c r="AD402" s="82"/>
      <c r="AE402" s="82"/>
      <c r="AF402" s="82"/>
      <c r="AG402" s="82"/>
      <c r="AH402" s="82"/>
      <c r="AI402" s="82"/>
      <c r="AJ402" s="82"/>
      <c r="AK402" s="82"/>
      <c r="AL402" s="82"/>
      <c r="AM402" s="82"/>
      <c r="AN402" s="82"/>
      <c r="AO402" s="82"/>
      <c r="AP402" s="82"/>
      <c r="AQ402" s="82"/>
    </row>
    <row r="403" spans="1:43" s="8" customFormat="1">
      <c r="A403" s="38"/>
      <c r="B403" s="113" t="str">
        <f>B291</f>
        <v xml:space="preserve">Material Properties for </v>
      </c>
      <c r="C403" s="117"/>
      <c r="D403" s="118"/>
      <c r="E403" s="116"/>
      <c r="F403" s="117"/>
      <c r="G403" s="117"/>
      <c r="H403" s="116"/>
      <c r="I403" s="6"/>
      <c r="J403" s="23"/>
      <c r="K403" s="23"/>
      <c r="L403" s="119"/>
      <c r="M403" s="91"/>
      <c r="N403" s="110"/>
      <c r="O403" s="111"/>
      <c r="P403" s="23"/>
      <c r="Q403" s="164"/>
      <c r="R403" s="111"/>
      <c r="S403" s="111"/>
      <c r="T403" s="163"/>
      <c r="U403" s="82"/>
      <c r="V403" s="82"/>
      <c r="W403" s="82"/>
      <c r="X403" s="29"/>
      <c r="Y403" s="38"/>
      <c r="Z403" s="82"/>
      <c r="AA403" s="82"/>
      <c r="AB403" s="82"/>
      <c r="AC403" s="82"/>
      <c r="AD403" s="82"/>
      <c r="AE403" s="82"/>
      <c r="AF403" s="82"/>
      <c r="AG403" s="82"/>
      <c r="AH403" s="82"/>
      <c r="AI403" s="82"/>
      <c r="AJ403" s="82"/>
      <c r="AK403" s="82"/>
      <c r="AL403" s="82"/>
      <c r="AM403" s="82"/>
      <c r="AN403" s="82"/>
      <c r="AO403" s="82"/>
      <c r="AP403" s="82"/>
      <c r="AQ403" s="82"/>
    </row>
    <row r="404" spans="1:43" s="8" customFormat="1">
      <c r="A404" s="38"/>
      <c r="B404" s="113" t="str">
        <f>B348&amp;" (continued)"</f>
        <v>Plastic Correction for Compressive Flange Buckling (continued)</v>
      </c>
      <c r="C404" s="117"/>
      <c r="D404" s="118"/>
      <c r="E404" s="116"/>
      <c r="F404" s="117"/>
      <c r="G404" s="117"/>
      <c r="H404" s="116"/>
      <c r="I404" s="6"/>
      <c r="J404" s="23"/>
      <c r="K404" s="23"/>
      <c r="L404" s="119"/>
      <c r="M404" s="91"/>
      <c r="N404" s="110"/>
      <c r="O404" s="111"/>
      <c r="P404" s="23"/>
      <c r="Q404" s="164"/>
      <c r="R404" s="111"/>
      <c r="S404" s="111"/>
      <c r="T404" s="163"/>
      <c r="U404" s="82"/>
      <c r="V404" s="82"/>
      <c r="W404" s="82"/>
      <c r="X404" s="29"/>
      <c r="Y404" s="38"/>
      <c r="Z404" s="82"/>
      <c r="AA404" s="82"/>
      <c r="AB404" s="82"/>
      <c r="AC404" s="82"/>
      <c r="AD404" s="82"/>
      <c r="AE404" s="82"/>
      <c r="AF404" s="82"/>
      <c r="AG404" s="82"/>
      <c r="AH404" s="82"/>
      <c r="AI404" s="82"/>
      <c r="AJ404" s="82"/>
      <c r="AK404" s="82"/>
      <c r="AL404" s="82"/>
      <c r="AM404" s="82"/>
      <c r="AN404" s="82"/>
      <c r="AO404" s="82"/>
      <c r="AP404" s="82"/>
      <c r="AQ404" s="82"/>
    </row>
    <row r="405" spans="1:43" s="8" customFormat="1">
      <c r="A405" s="34"/>
      <c r="B405" s="215" t="s">
        <v>298</v>
      </c>
      <c r="C405" s="27"/>
      <c r="D405" s="27" t="s">
        <v>300</v>
      </c>
      <c r="E405" s="116"/>
      <c r="F405" s="117"/>
      <c r="G405" s="117"/>
      <c r="H405" s="116"/>
      <c r="I405" s="6"/>
      <c r="J405" s="23"/>
      <c r="K405" s="23"/>
      <c r="L405" s="19"/>
      <c r="M405" s="91"/>
      <c r="N405" s="110"/>
      <c r="O405" s="111"/>
      <c r="P405" s="23"/>
      <c r="Q405" s="164"/>
      <c r="R405" s="111"/>
      <c r="S405" s="111"/>
      <c r="T405" s="163"/>
      <c r="U405" s="38"/>
      <c r="V405" s="38"/>
      <c r="W405" s="38"/>
      <c r="X405" s="29"/>
      <c r="Y405" s="38"/>
      <c r="Z405" s="38"/>
      <c r="AA405" s="38"/>
      <c r="AB405" s="38"/>
      <c r="AC405" s="82"/>
      <c r="AD405" s="82"/>
      <c r="AE405" s="82"/>
      <c r="AF405" s="82"/>
      <c r="AG405" s="82"/>
      <c r="AH405" s="82"/>
      <c r="AI405" s="82"/>
      <c r="AJ405" s="82"/>
      <c r="AK405" s="82"/>
      <c r="AL405" s="82"/>
      <c r="AM405" s="82"/>
      <c r="AN405" s="82"/>
      <c r="AO405" s="82"/>
      <c r="AP405" s="82"/>
      <c r="AQ405" s="82"/>
    </row>
    <row r="406" spans="1:43" s="8" customFormat="1">
      <c r="A406" s="34"/>
      <c r="B406" s="38"/>
      <c r="C406" s="38"/>
      <c r="D406" s="38"/>
      <c r="E406" s="38"/>
      <c r="F406" s="38"/>
      <c r="G406" s="38"/>
      <c r="H406" s="38"/>
      <c r="I406" s="23"/>
      <c r="J406" s="23"/>
      <c r="K406" s="23"/>
      <c r="L406" s="19"/>
      <c r="M406" s="91"/>
      <c r="N406" s="110"/>
      <c r="O406" s="111"/>
      <c r="P406" s="23"/>
      <c r="Q406" s="164"/>
      <c r="R406" s="111"/>
      <c r="S406" s="111"/>
      <c r="T406" s="163"/>
      <c r="U406" s="38"/>
      <c r="V406" s="38"/>
      <c r="W406" s="38"/>
      <c r="X406" s="29"/>
      <c r="Y406" s="38"/>
      <c r="Z406" s="38"/>
      <c r="AA406" s="38"/>
      <c r="AB406" s="38"/>
      <c r="AC406" s="82"/>
      <c r="AD406" s="82"/>
      <c r="AE406" s="82"/>
      <c r="AF406" s="82"/>
      <c r="AG406" s="82"/>
      <c r="AH406" s="82"/>
      <c r="AI406" s="82"/>
      <c r="AJ406" s="82"/>
      <c r="AK406" s="82"/>
      <c r="AL406" s="82"/>
      <c r="AM406" s="82"/>
      <c r="AN406" s="82"/>
      <c r="AO406" s="82"/>
      <c r="AP406" s="82"/>
      <c r="AQ406" s="82"/>
    </row>
    <row r="407" spans="1:43" s="8" customFormat="1">
      <c r="A407" s="34"/>
      <c r="B407" s="38"/>
      <c r="C407" s="38"/>
      <c r="D407" s="38"/>
      <c r="E407" s="38"/>
      <c r="F407" s="38"/>
      <c r="G407" s="38"/>
      <c r="H407" s="38"/>
      <c r="I407" s="23"/>
      <c r="J407" s="23"/>
      <c r="K407" s="23"/>
      <c r="L407" s="23"/>
      <c r="M407" s="111"/>
      <c r="N407" s="110"/>
      <c r="O407" s="111"/>
      <c r="P407" s="23"/>
      <c r="Q407" s="164"/>
      <c r="R407" s="111"/>
      <c r="S407" s="111"/>
      <c r="T407" s="163"/>
      <c r="U407" s="38"/>
      <c r="V407" s="38"/>
      <c r="W407" s="38"/>
      <c r="X407" s="29"/>
      <c r="Y407" s="38"/>
      <c r="Z407" s="38"/>
      <c r="AA407" s="38"/>
      <c r="AB407" s="38"/>
      <c r="AC407" s="82"/>
      <c r="AD407" s="82"/>
      <c r="AE407" s="82"/>
      <c r="AF407" s="82"/>
      <c r="AG407" s="82"/>
      <c r="AH407" s="82"/>
      <c r="AI407" s="82"/>
      <c r="AJ407" s="82"/>
      <c r="AK407" s="82"/>
      <c r="AL407" s="82"/>
      <c r="AM407" s="82"/>
      <c r="AN407" s="82"/>
      <c r="AO407" s="82"/>
      <c r="AP407" s="82"/>
      <c r="AQ407" s="82"/>
    </row>
    <row r="408" spans="1:43" s="8" customFormat="1">
      <c r="A408" s="34"/>
      <c r="B408" s="38"/>
      <c r="C408" s="38"/>
      <c r="D408" s="38"/>
      <c r="E408" s="38"/>
      <c r="F408" s="38"/>
      <c r="G408" s="38"/>
      <c r="H408" s="38"/>
      <c r="I408" s="23"/>
      <c r="J408" s="23"/>
      <c r="K408" s="23"/>
      <c r="L408" s="23"/>
      <c r="M408" s="111"/>
      <c r="N408" s="110"/>
      <c r="O408" s="111"/>
      <c r="P408" s="23"/>
      <c r="Q408" s="164"/>
      <c r="R408" s="111"/>
      <c r="S408" s="111"/>
      <c r="T408" s="163"/>
      <c r="U408" s="167"/>
      <c r="V408" s="38"/>
      <c r="W408" s="38"/>
      <c r="X408" s="29"/>
      <c r="Y408" s="38"/>
      <c r="Z408" s="38"/>
      <c r="AA408" s="38"/>
      <c r="AB408" s="38"/>
      <c r="AC408" s="82"/>
      <c r="AD408" s="82"/>
      <c r="AE408" s="82"/>
      <c r="AF408" s="82"/>
      <c r="AG408" s="82"/>
      <c r="AH408" s="82"/>
      <c r="AI408" s="82"/>
      <c r="AJ408" s="82"/>
      <c r="AK408" s="82"/>
      <c r="AL408" s="82"/>
      <c r="AM408" s="82"/>
      <c r="AN408" s="82"/>
      <c r="AO408" s="82"/>
      <c r="AP408" s="82"/>
      <c r="AQ408" s="82"/>
    </row>
    <row r="409" spans="1:43" s="8" customFormat="1">
      <c r="A409" s="34"/>
      <c r="B409" s="38"/>
      <c r="C409" s="38"/>
      <c r="D409" s="38"/>
      <c r="E409" s="38"/>
      <c r="F409" s="38"/>
      <c r="G409" s="38"/>
      <c r="H409" s="38"/>
      <c r="I409" s="23"/>
      <c r="J409" s="23"/>
      <c r="K409" s="23"/>
      <c r="L409" s="23"/>
      <c r="M409" s="111"/>
      <c r="N409" s="110"/>
      <c r="O409" s="111"/>
      <c r="P409" s="23"/>
      <c r="Q409" s="164"/>
      <c r="R409" s="111"/>
      <c r="S409" s="111"/>
      <c r="T409" s="163"/>
      <c r="U409" s="167"/>
      <c r="V409" s="38"/>
      <c r="W409" s="38"/>
      <c r="X409" s="34"/>
      <c r="Y409" s="38"/>
      <c r="Z409" s="38"/>
      <c r="AA409" s="38"/>
      <c r="AB409" s="38"/>
      <c r="AC409" s="82"/>
      <c r="AD409" s="82"/>
      <c r="AE409" s="82"/>
      <c r="AF409" s="82"/>
      <c r="AG409" s="82"/>
      <c r="AH409" s="82"/>
      <c r="AI409" s="82"/>
      <c r="AJ409" s="82"/>
      <c r="AK409" s="82"/>
      <c r="AL409" s="82"/>
      <c r="AM409" s="82"/>
      <c r="AN409" s="82"/>
      <c r="AO409" s="82"/>
      <c r="AP409" s="82"/>
      <c r="AQ409" s="82"/>
    </row>
    <row r="410" spans="1:43" s="8" customFormat="1">
      <c r="A410" s="34"/>
      <c r="B410" s="38"/>
      <c r="C410" s="38"/>
      <c r="D410" s="38"/>
      <c r="E410" s="38"/>
      <c r="F410" s="38"/>
      <c r="G410" s="38"/>
      <c r="H410" s="38"/>
      <c r="I410" s="23"/>
      <c r="J410" s="23"/>
      <c r="K410" s="23"/>
      <c r="L410" s="23"/>
      <c r="M410" s="111"/>
      <c r="N410" s="110"/>
      <c r="O410" s="111"/>
      <c r="P410" s="23"/>
      <c r="Q410" s="164"/>
      <c r="R410" s="111"/>
      <c r="S410" s="111"/>
      <c r="T410" s="163"/>
      <c r="U410" s="167"/>
      <c r="V410" s="38"/>
      <c r="W410" s="38"/>
      <c r="X410" s="34"/>
      <c r="Y410" s="38"/>
      <c r="Z410" s="38"/>
      <c r="AA410" s="38"/>
      <c r="AB410" s="38"/>
      <c r="AC410" s="82"/>
      <c r="AD410" s="82"/>
      <c r="AE410" s="82"/>
      <c r="AF410" s="82"/>
      <c r="AG410" s="82"/>
      <c r="AH410" s="82"/>
      <c r="AI410" s="82"/>
      <c r="AJ410" s="82"/>
      <c r="AK410" s="82"/>
      <c r="AL410" s="82"/>
      <c r="AM410" s="82"/>
      <c r="AN410" s="82"/>
      <c r="AO410" s="82"/>
      <c r="AP410" s="82"/>
      <c r="AQ410" s="82"/>
    </row>
    <row r="411" spans="1:43" s="8" customFormat="1">
      <c r="A411" s="34"/>
      <c r="B411" s="38"/>
      <c r="C411" s="38"/>
      <c r="D411" s="38"/>
      <c r="E411" s="38"/>
      <c r="F411" s="38"/>
      <c r="G411" s="38"/>
      <c r="H411" s="38"/>
      <c r="I411" s="23"/>
      <c r="J411" s="23"/>
      <c r="K411" s="23"/>
      <c r="L411" s="23"/>
      <c r="M411" s="111"/>
      <c r="N411" s="110"/>
      <c r="O411" s="111"/>
      <c r="P411" s="23"/>
      <c r="Q411" s="164"/>
      <c r="R411" s="111"/>
      <c r="S411" s="111"/>
      <c r="T411" s="163"/>
      <c r="U411" s="167"/>
      <c r="V411" s="38"/>
      <c r="W411" s="38"/>
      <c r="X411" s="34"/>
      <c r="Y411" s="38"/>
      <c r="Z411" s="38"/>
      <c r="AA411" s="38"/>
      <c r="AB411" s="38"/>
      <c r="AC411" s="82"/>
      <c r="AD411" s="82"/>
      <c r="AE411" s="82"/>
      <c r="AF411" s="82"/>
      <c r="AG411" s="82"/>
      <c r="AH411" s="82"/>
      <c r="AI411" s="82"/>
      <c r="AJ411" s="82"/>
      <c r="AK411" s="82"/>
      <c r="AL411" s="82"/>
      <c r="AM411" s="82"/>
      <c r="AN411" s="82"/>
      <c r="AO411" s="82"/>
      <c r="AP411" s="82"/>
      <c r="AQ411" s="82"/>
    </row>
    <row r="412" spans="1:43" s="8" customFormat="1">
      <c r="A412" s="38"/>
      <c r="B412" s="38"/>
      <c r="C412" s="117"/>
      <c r="D412" s="118"/>
      <c r="E412" s="116"/>
      <c r="F412" s="117"/>
      <c r="G412" s="117"/>
      <c r="H412" s="116"/>
      <c r="I412" s="6"/>
      <c r="J412" s="23"/>
      <c r="K412" s="23"/>
      <c r="L412" s="23"/>
      <c r="M412" s="111"/>
      <c r="N412" s="110"/>
      <c r="O412" s="111"/>
      <c r="P412" s="23"/>
      <c r="Q412" s="164"/>
      <c r="R412" s="111"/>
      <c r="S412" s="111"/>
      <c r="T412" s="163"/>
      <c r="U412" s="38"/>
      <c r="V412" s="38"/>
      <c r="W412" s="38"/>
      <c r="X412" s="34"/>
      <c r="Y412" s="38"/>
      <c r="Z412" s="38"/>
      <c r="AA412" s="38"/>
      <c r="AB412" s="38"/>
      <c r="AC412" s="82"/>
      <c r="AD412" s="82"/>
      <c r="AE412" s="82"/>
      <c r="AF412" s="82"/>
      <c r="AG412" s="82"/>
      <c r="AH412" s="82"/>
      <c r="AI412" s="82"/>
      <c r="AJ412" s="82"/>
      <c r="AK412" s="82"/>
      <c r="AL412" s="82"/>
      <c r="AM412" s="82"/>
      <c r="AN412" s="82"/>
      <c r="AO412" s="82"/>
      <c r="AP412" s="82"/>
      <c r="AQ412" s="82"/>
    </row>
    <row r="413" spans="1:43" s="8" customFormat="1">
      <c r="A413" s="38"/>
      <c r="B413" s="38"/>
      <c r="C413" s="117"/>
      <c r="D413" s="118"/>
      <c r="E413" s="116"/>
      <c r="F413" s="117"/>
      <c r="G413" s="117"/>
      <c r="H413" s="116"/>
      <c r="I413" s="6"/>
      <c r="J413" s="23"/>
      <c r="K413" s="23"/>
      <c r="L413" s="23"/>
      <c r="M413" s="111"/>
      <c r="N413" s="110"/>
      <c r="O413" s="111"/>
      <c r="P413" s="23"/>
      <c r="Q413" s="164"/>
      <c r="R413" s="111"/>
      <c r="S413" s="111"/>
      <c r="T413" s="163"/>
      <c r="U413" s="38"/>
      <c r="V413" s="38"/>
      <c r="W413" s="38"/>
      <c r="X413" s="34"/>
      <c r="Y413" s="38"/>
      <c r="Z413" s="38"/>
      <c r="AA413" s="38"/>
      <c r="AB413" s="38"/>
      <c r="AC413" s="82"/>
      <c r="AD413" s="82"/>
      <c r="AE413" s="82"/>
      <c r="AF413" s="82"/>
      <c r="AG413" s="82"/>
      <c r="AH413" s="82"/>
      <c r="AI413" s="82"/>
      <c r="AJ413" s="82"/>
      <c r="AK413" s="82"/>
      <c r="AL413" s="82"/>
      <c r="AM413" s="82"/>
      <c r="AN413" s="82"/>
      <c r="AO413" s="82"/>
      <c r="AP413" s="82"/>
      <c r="AQ413" s="82"/>
    </row>
    <row r="414" spans="1:43" s="8" customFormat="1">
      <c r="A414" s="38"/>
      <c r="B414" s="38"/>
      <c r="C414" s="117"/>
      <c r="D414" s="118"/>
      <c r="E414" s="117"/>
      <c r="F414" s="117"/>
      <c r="G414" s="117"/>
      <c r="H414" s="117"/>
      <c r="I414" s="129"/>
      <c r="J414" s="23"/>
      <c r="K414" s="23"/>
      <c r="L414" s="23"/>
      <c r="M414" s="111"/>
      <c r="N414" s="110"/>
      <c r="O414" s="111"/>
      <c r="P414" s="23"/>
      <c r="Q414" s="164"/>
      <c r="R414" s="111"/>
      <c r="S414" s="111"/>
      <c r="T414" s="163"/>
      <c r="U414" s="38"/>
      <c r="V414" s="38"/>
      <c r="W414" s="38"/>
      <c r="X414" s="34"/>
      <c r="Y414" s="38"/>
      <c r="Z414" s="38"/>
      <c r="AA414" s="38"/>
      <c r="AB414" s="38"/>
      <c r="AC414" s="82"/>
      <c r="AD414" s="82"/>
      <c r="AE414" s="82"/>
      <c r="AF414" s="82"/>
      <c r="AG414" s="82"/>
      <c r="AH414" s="82"/>
      <c r="AI414" s="82"/>
      <c r="AJ414" s="82"/>
      <c r="AK414" s="82"/>
      <c r="AL414" s="82"/>
      <c r="AM414" s="82"/>
      <c r="AN414" s="82"/>
      <c r="AO414" s="82"/>
      <c r="AP414" s="82"/>
      <c r="AQ414" s="82"/>
    </row>
    <row r="415" spans="1:43" s="8" customFormat="1">
      <c r="A415" s="38"/>
      <c r="B415" s="38"/>
      <c r="C415" s="117"/>
      <c r="D415" s="118"/>
      <c r="E415" s="117"/>
      <c r="F415" s="117"/>
      <c r="G415" s="117"/>
      <c r="H415" s="117"/>
      <c r="I415" s="129"/>
      <c r="J415" s="23"/>
      <c r="K415" s="23"/>
      <c r="L415" s="19"/>
      <c r="M415" s="111"/>
      <c r="N415" s="110"/>
      <c r="O415" s="111"/>
      <c r="P415" s="23"/>
      <c r="Q415" s="164"/>
      <c r="R415" s="111"/>
      <c r="S415" s="111"/>
      <c r="T415" s="163"/>
      <c r="U415" s="38"/>
      <c r="V415" s="38"/>
      <c r="W415" s="38"/>
      <c r="X415" s="38"/>
      <c r="Y415" s="38"/>
      <c r="Z415" s="38"/>
      <c r="AA415" s="38"/>
      <c r="AB415" s="38"/>
      <c r="AC415" s="82"/>
      <c r="AD415" s="82"/>
      <c r="AE415" s="82"/>
      <c r="AF415" s="82"/>
      <c r="AG415" s="82"/>
      <c r="AH415" s="82"/>
      <c r="AI415" s="82"/>
      <c r="AJ415" s="82"/>
      <c r="AK415" s="82"/>
      <c r="AL415" s="82"/>
      <c r="AM415" s="82"/>
      <c r="AN415" s="82"/>
      <c r="AO415" s="82"/>
      <c r="AP415" s="82"/>
      <c r="AQ415" s="82"/>
    </row>
    <row r="416" spans="1:43" s="8" customFormat="1">
      <c r="A416" s="38"/>
      <c r="B416" s="38"/>
      <c r="C416" s="117"/>
      <c r="D416" s="118"/>
      <c r="E416" s="117"/>
      <c r="F416" s="117"/>
      <c r="G416" s="117"/>
      <c r="H416" s="117"/>
      <c r="I416" s="129"/>
      <c r="J416" s="23"/>
      <c r="K416" s="23"/>
      <c r="L416" s="19"/>
      <c r="M416" s="111"/>
      <c r="N416" s="110"/>
      <c r="O416" s="111"/>
      <c r="P416" s="23"/>
      <c r="Q416" s="164"/>
      <c r="R416" s="111"/>
      <c r="S416" s="111"/>
      <c r="T416" s="163"/>
      <c r="U416" s="38"/>
      <c r="V416" s="38"/>
      <c r="W416" s="38"/>
      <c r="X416" s="38"/>
      <c r="Y416" s="38"/>
      <c r="Z416" s="38"/>
      <c r="AA416" s="38"/>
      <c r="AB416" s="38"/>
      <c r="AC416" s="82"/>
      <c r="AD416" s="82"/>
      <c r="AE416" s="82"/>
      <c r="AF416" s="82"/>
      <c r="AG416" s="82"/>
      <c r="AH416" s="82"/>
      <c r="AI416" s="82"/>
      <c r="AJ416" s="82"/>
      <c r="AK416" s="82"/>
      <c r="AL416" s="82"/>
      <c r="AM416" s="82"/>
      <c r="AN416" s="82"/>
      <c r="AO416" s="82"/>
      <c r="AP416" s="82"/>
      <c r="AQ416" s="82"/>
    </row>
    <row r="417" spans="1:43" s="8" customFormat="1">
      <c r="A417" s="38"/>
      <c r="B417" s="38"/>
      <c r="C417" s="117"/>
      <c r="D417" s="118"/>
      <c r="E417" s="117"/>
      <c r="F417" s="117"/>
      <c r="G417" s="117"/>
      <c r="H417" s="117"/>
      <c r="I417" s="129"/>
      <c r="J417" s="23"/>
      <c r="K417" s="23"/>
      <c r="L417" s="19"/>
      <c r="M417" s="111"/>
      <c r="N417" s="110"/>
      <c r="O417" s="111"/>
      <c r="P417" s="23"/>
      <c r="Q417" s="164"/>
      <c r="R417" s="111"/>
      <c r="S417" s="111"/>
      <c r="T417" s="163"/>
      <c r="U417" s="38"/>
      <c r="V417" s="38"/>
      <c r="W417" s="38"/>
      <c r="X417" s="38"/>
      <c r="Y417" s="38"/>
      <c r="Z417" s="38"/>
      <c r="AA417" s="38"/>
      <c r="AB417" s="38"/>
      <c r="AC417" s="82"/>
      <c r="AD417" s="82"/>
      <c r="AE417" s="82"/>
      <c r="AF417" s="82"/>
      <c r="AG417" s="82"/>
      <c r="AH417" s="82"/>
      <c r="AI417" s="82"/>
      <c r="AJ417" s="82"/>
      <c r="AK417" s="82"/>
      <c r="AL417" s="82"/>
      <c r="AM417" s="82"/>
      <c r="AN417" s="82"/>
      <c r="AO417" s="82"/>
      <c r="AP417" s="82"/>
      <c r="AQ417" s="82"/>
    </row>
    <row r="418" spans="1:43" s="8" customFormat="1">
      <c r="A418" s="38"/>
      <c r="B418" s="38"/>
      <c r="C418" s="117"/>
      <c r="D418" s="118"/>
      <c r="E418" s="117"/>
      <c r="F418" s="117"/>
      <c r="G418" s="117"/>
      <c r="H418" s="117"/>
      <c r="I418" s="129"/>
      <c r="J418" s="23"/>
      <c r="K418" s="23"/>
      <c r="L418" s="19"/>
      <c r="M418" s="111"/>
      <c r="N418" s="110"/>
      <c r="O418" s="111"/>
      <c r="P418" s="23"/>
      <c r="Q418" s="164"/>
      <c r="R418" s="111"/>
      <c r="S418" s="111"/>
      <c r="T418" s="163"/>
      <c r="U418" s="82"/>
      <c r="V418" s="82"/>
      <c r="W418" s="82"/>
      <c r="X418" s="82"/>
      <c r="Y418" s="82"/>
      <c r="Z418" s="82"/>
      <c r="AA418" s="82"/>
      <c r="AB418" s="82"/>
      <c r="AC418" s="82"/>
      <c r="AD418" s="82"/>
      <c r="AE418" s="82"/>
      <c r="AF418" s="82"/>
      <c r="AG418" s="82"/>
      <c r="AH418" s="82"/>
      <c r="AI418" s="82"/>
      <c r="AJ418" s="82"/>
      <c r="AK418" s="82"/>
      <c r="AL418" s="82"/>
      <c r="AM418" s="82"/>
      <c r="AN418" s="82"/>
      <c r="AO418" s="82"/>
      <c r="AP418" s="82"/>
      <c r="AQ418" s="82"/>
    </row>
    <row r="419" spans="1:43" s="8" customFormat="1">
      <c r="A419" s="38"/>
      <c r="B419" s="38"/>
      <c r="C419" s="117"/>
      <c r="D419" s="118"/>
      <c r="E419" s="117"/>
      <c r="F419" s="117"/>
      <c r="G419" s="117"/>
      <c r="H419" s="117"/>
      <c r="I419" s="129"/>
      <c r="J419" s="23"/>
      <c r="K419" s="23"/>
      <c r="L419" s="19"/>
      <c r="M419" s="111"/>
      <c r="N419" s="110"/>
      <c r="O419" s="111"/>
      <c r="P419" s="23"/>
      <c r="Q419" s="164"/>
      <c r="R419" s="111"/>
      <c r="S419" s="111"/>
      <c r="T419" s="163"/>
      <c r="U419" s="82"/>
      <c r="V419" s="82"/>
      <c r="W419" s="82"/>
      <c r="X419" s="82"/>
      <c r="Y419" s="82"/>
      <c r="Z419" s="82"/>
      <c r="AA419" s="82"/>
      <c r="AB419" s="82"/>
      <c r="AC419" s="82"/>
      <c r="AD419" s="82"/>
      <c r="AE419" s="82"/>
      <c r="AF419" s="82"/>
      <c r="AG419" s="82"/>
      <c r="AH419" s="82"/>
      <c r="AI419" s="82"/>
      <c r="AJ419" s="82"/>
      <c r="AK419" s="82"/>
      <c r="AL419" s="82"/>
      <c r="AM419" s="82"/>
      <c r="AN419" s="82"/>
      <c r="AO419" s="82"/>
      <c r="AP419" s="82"/>
      <c r="AQ419" s="82"/>
    </row>
    <row r="420" spans="1:43">
      <c r="A420" s="38"/>
      <c r="B420" s="38"/>
      <c r="C420" s="117"/>
      <c r="D420" s="118"/>
      <c r="E420" s="117"/>
      <c r="F420" s="117"/>
      <c r="G420" s="117"/>
      <c r="H420" s="117"/>
      <c r="I420" s="129"/>
      <c r="J420" s="19"/>
      <c r="K420" s="19"/>
      <c r="L420" s="19"/>
      <c r="M420" s="111"/>
      <c r="N420" s="110"/>
      <c r="O420" s="111"/>
      <c r="P420" s="23"/>
      <c r="Q420" s="164"/>
      <c r="T420" s="62"/>
      <c r="U420" s="30"/>
      <c r="V420" s="30"/>
      <c r="W420" s="30"/>
      <c r="X420" s="30"/>
      <c r="Y420" s="30"/>
      <c r="Z420" s="30"/>
      <c r="AA420" s="30"/>
      <c r="AB420" s="30"/>
      <c r="AC420" s="30"/>
      <c r="AD420" s="30"/>
      <c r="AE420" s="30"/>
      <c r="AF420" s="30"/>
      <c r="AG420" s="30"/>
      <c r="AH420" s="30"/>
      <c r="AI420" s="30"/>
      <c r="AJ420" s="30"/>
      <c r="AK420" s="30"/>
      <c r="AL420" s="30"/>
      <c r="AM420" s="30"/>
      <c r="AN420" s="30"/>
      <c r="AO420" s="30"/>
      <c r="AP420" s="30"/>
      <c r="AQ420" s="30"/>
    </row>
    <row r="421" spans="1:43">
      <c r="A421" s="38"/>
      <c r="B421" s="38"/>
      <c r="C421" s="117"/>
      <c r="D421" s="118"/>
      <c r="E421" s="117"/>
      <c r="F421" s="117"/>
      <c r="G421" s="117"/>
      <c r="H421" s="117"/>
      <c r="I421" s="129"/>
      <c r="J421" s="19"/>
      <c r="K421" s="19"/>
      <c r="L421" s="19"/>
      <c r="M421" s="111"/>
      <c r="N421" s="110"/>
      <c r="O421" s="111"/>
      <c r="P421" s="23"/>
      <c r="Q421" s="164"/>
      <c r="T421" s="62"/>
      <c r="U421" s="30"/>
      <c r="V421" s="30"/>
      <c r="W421" s="30"/>
      <c r="X421" s="30"/>
      <c r="Y421" s="30"/>
      <c r="Z421" s="30"/>
      <c r="AA421" s="30"/>
      <c r="AB421" s="30"/>
      <c r="AC421" s="30"/>
      <c r="AD421" s="30"/>
      <c r="AE421" s="30"/>
      <c r="AF421" s="30"/>
      <c r="AG421" s="30"/>
      <c r="AH421" s="30"/>
      <c r="AI421" s="30"/>
      <c r="AJ421" s="30"/>
      <c r="AK421" s="30"/>
      <c r="AL421" s="30"/>
      <c r="AM421" s="30"/>
      <c r="AN421" s="30"/>
      <c r="AO421" s="30"/>
      <c r="AP421" s="30"/>
      <c r="AQ421" s="30"/>
    </row>
    <row r="422" spans="1:43">
      <c r="A422" s="27"/>
      <c r="B422" s="38"/>
      <c r="C422" s="117"/>
      <c r="D422" s="118"/>
      <c r="E422" s="117"/>
      <c r="F422" s="117"/>
      <c r="G422" s="117"/>
      <c r="H422" s="117"/>
      <c r="I422" s="129"/>
      <c r="J422" s="19"/>
      <c r="K422" s="19"/>
      <c r="L422" s="19"/>
      <c r="M422" s="91"/>
      <c r="N422" s="110"/>
      <c r="O422" s="111"/>
      <c r="P422" s="23"/>
      <c r="Q422" s="164"/>
      <c r="T422" s="62"/>
      <c r="U422" s="30"/>
      <c r="V422" s="30"/>
      <c r="W422" s="30"/>
      <c r="X422" s="30"/>
      <c r="Y422" s="30"/>
      <c r="Z422" s="30"/>
      <c r="AA422" s="30"/>
      <c r="AB422" s="30"/>
      <c r="AC422" s="30"/>
      <c r="AD422" s="30"/>
      <c r="AE422" s="30"/>
      <c r="AF422" s="30"/>
      <c r="AG422" s="30"/>
      <c r="AH422" s="30"/>
      <c r="AI422" s="30"/>
      <c r="AJ422" s="30"/>
      <c r="AK422" s="30"/>
      <c r="AL422" s="30"/>
      <c r="AM422" s="30"/>
      <c r="AN422" s="30"/>
      <c r="AO422" s="30"/>
      <c r="AP422" s="30"/>
      <c r="AQ422" s="30"/>
    </row>
    <row r="423" spans="1:43">
      <c r="A423" s="27"/>
      <c r="B423" s="38"/>
      <c r="C423" s="117"/>
      <c r="D423" s="118"/>
      <c r="E423" s="117"/>
      <c r="F423" s="117"/>
      <c r="G423" s="117"/>
      <c r="H423" s="117"/>
      <c r="I423" s="129"/>
      <c r="J423" s="19"/>
      <c r="K423" s="19"/>
      <c r="L423" s="19"/>
      <c r="M423" s="91"/>
      <c r="N423" s="110"/>
      <c r="O423" s="111"/>
      <c r="P423" s="23"/>
      <c r="Q423" s="164"/>
      <c r="T423" s="62"/>
      <c r="U423" s="30"/>
      <c r="V423" s="30"/>
      <c r="W423" s="30"/>
      <c r="X423" s="30"/>
      <c r="Y423" s="30"/>
      <c r="Z423" s="30"/>
      <c r="AA423" s="30"/>
      <c r="AB423" s="30"/>
      <c r="AC423" s="30"/>
      <c r="AD423" s="30"/>
      <c r="AE423" s="30"/>
      <c r="AF423" s="30"/>
      <c r="AG423" s="30"/>
      <c r="AH423" s="30"/>
      <c r="AI423" s="30"/>
      <c r="AJ423" s="30"/>
      <c r="AK423" s="30"/>
      <c r="AL423" s="30"/>
      <c r="AM423" s="30"/>
      <c r="AN423" s="30"/>
      <c r="AO423" s="30"/>
      <c r="AP423" s="30"/>
      <c r="AQ423" s="30"/>
    </row>
    <row r="424" spans="1:43">
      <c r="A424" s="27"/>
      <c r="B424" s="38"/>
      <c r="C424" s="117"/>
      <c r="D424" s="118"/>
      <c r="E424" s="117"/>
      <c r="F424" s="117"/>
      <c r="G424" s="117"/>
      <c r="H424" s="117"/>
      <c r="I424" s="129"/>
      <c r="J424" s="19"/>
      <c r="K424" s="19"/>
      <c r="L424" s="19"/>
      <c r="M424" s="160"/>
      <c r="N424" s="110"/>
      <c r="O424" s="111"/>
      <c r="P424" s="23"/>
      <c r="Q424" s="164"/>
      <c r="T424" s="62"/>
      <c r="U424" s="30"/>
      <c r="V424" s="30"/>
      <c r="W424" s="30"/>
      <c r="X424" s="30"/>
      <c r="Y424" s="30"/>
      <c r="Z424" s="30"/>
      <c r="AA424" s="30"/>
      <c r="AB424" s="30"/>
      <c r="AC424" s="30"/>
      <c r="AD424" s="30"/>
      <c r="AE424" s="30"/>
      <c r="AF424" s="30"/>
      <c r="AG424" s="30"/>
      <c r="AH424" s="30"/>
      <c r="AI424" s="30"/>
      <c r="AJ424" s="30"/>
      <c r="AK424" s="30"/>
      <c r="AL424" s="30"/>
      <c r="AM424" s="30"/>
      <c r="AN424" s="30"/>
      <c r="AO424" s="30"/>
      <c r="AP424" s="30"/>
      <c r="AQ424" s="30"/>
    </row>
    <row r="425" spans="1:43">
      <c r="A425" s="27"/>
      <c r="B425" s="38"/>
      <c r="C425" s="117"/>
      <c r="D425" s="118"/>
      <c r="E425" s="117"/>
      <c r="F425" s="117"/>
      <c r="G425" s="117"/>
      <c r="H425" s="117"/>
      <c r="I425" s="129"/>
      <c r="J425" s="19"/>
      <c r="K425" s="19"/>
      <c r="L425" s="19"/>
      <c r="M425" s="160"/>
      <c r="N425" s="110"/>
      <c r="O425" s="111"/>
      <c r="P425" s="23"/>
      <c r="Q425" s="164"/>
      <c r="T425" s="62"/>
      <c r="U425" s="30"/>
      <c r="V425" s="30"/>
      <c r="W425" s="30"/>
      <c r="X425" s="30"/>
      <c r="Y425" s="30"/>
      <c r="Z425" s="30"/>
      <c r="AA425" s="30"/>
      <c r="AB425" s="30"/>
      <c r="AC425" s="30"/>
      <c r="AD425" s="30"/>
      <c r="AE425" s="30"/>
      <c r="AF425" s="30"/>
      <c r="AG425" s="30"/>
      <c r="AH425" s="30"/>
      <c r="AI425" s="30"/>
      <c r="AJ425" s="30"/>
      <c r="AK425" s="30"/>
      <c r="AL425" s="30"/>
      <c r="AM425" s="30"/>
      <c r="AN425" s="30"/>
      <c r="AO425" s="30"/>
      <c r="AP425" s="30"/>
      <c r="AQ425" s="30"/>
    </row>
    <row r="426" spans="1:43">
      <c r="A426" s="27"/>
      <c r="B426" s="38"/>
      <c r="C426" s="117"/>
      <c r="D426" s="118"/>
      <c r="E426" s="117"/>
      <c r="F426" s="117"/>
      <c r="G426" s="117"/>
      <c r="H426" s="117"/>
      <c r="I426" s="129"/>
      <c r="J426" s="19"/>
      <c r="K426" s="19"/>
      <c r="L426" s="19"/>
      <c r="M426" s="91"/>
      <c r="N426" s="110"/>
      <c r="O426" s="111"/>
      <c r="P426" s="23"/>
      <c r="Q426" s="164"/>
      <c r="T426" s="62"/>
      <c r="U426" s="30"/>
      <c r="V426" s="30"/>
      <c r="W426" s="30"/>
      <c r="X426" s="30"/>
      <c r="Y426" s="30"/>
      <c r="Z426" s="30"/>
      <c r="AA426" s="30"/>
      <c r="AB426" s="30"/>
      <c r="AC426" s="30"/>
      <c r="AD426" s="30"/>
      <c r="AE426" s="30"/>
      <c r="AF426" s="30"/>
      <c r="AG426" s="30"/>
      <c r="AH426" s="30"/>
      <c r="AI426" s="30"/>
      <c r="AJ426" s="30"/>
      <c r="AK426" s="30"/>
      <c r="AL426" s="30"/>
      <c r="AM426" s="30"/>
      <c r="AN426" s="30"/>
      <c r="AO426" s="30"/>
      <c r="AP426" s="30"/>
      <c r="AQ426" s="30"/>
    </row>
    <row r="427" spans="1:43">
      <c r="A427" s="27"/>
      <c r="B427" s="38"/>
      <c r="C427" s="117"/>
      <c r="D427" s="118"/>
      <c r="E427" s="117"/>
      <c r="F427" s="117"/>
      <c r="G427" s="117"/>
      <c r="H427" s="117"/>
      <c r="I427" s="129"/>
      <c r="J427" s="19"/>
      <c r="K427" s="19"/>
      <c r="L427" s="19"/>
      <c r="M427" s="91"/>
      <c r="N427" s="110"/>
      <c r="O427" s="111"/>
      <c r="P427" s="23"/>
      <c r="Q427" s="164"/>
      <c r="T427" s="62"/>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row>
    <row r="428" spans="1:43">
      <c r="A428" s="27"/>
      <c r="B428" s="67"/>
      <c r="C428" s="38"/>
      <c r="D428" s="29"/>
      <c r="E428" s="29"/>
      <c r="F428" s="29"/>
      <c r="G428" s="29"/>
      <c r="H428" s="29"/>
      <c r="I428" s="19"/>
      <c r="J428" s="19"/>
      <c r="K428" s="19"/>
      <c r="L428" s="19"/>
      <c r="M428" s="91"/>
      <c r="N428" s="110"/>
      <c r="O428" s="111"/>
      <c r="P428" s="23"/>
      <c r="Q428" s="164"/>
      <c r="T428" s="62"/>
      <c r="U428" s="30"/>
      <c r="V428" s="30"/>
      <c r="W428" s="30"/>
      <c r="X428" s="30"/>
      <c r="Y428" s="30"/>
      <c r="Z428" s="30"/>
      <c r="AA428" s="30"/>
      <c r="AB428" s="30"/>
      <c r="AC428" s="30"/>
      <c r="AD428" s="30"/>
      <c r="AE428" s="30"/>
      <c r="AF428" s="30"/>
      <c r="AG428" s="30"/>
      <c r="AH428" s="30"/>
      <c r="AI428" s="30"/>
      <c r="AJ428" s="30"/>
      <c r="AK428" s="30"/>
      <c r="AL428" s="30"/>
      <c r="AM428" s="30"/>
      <c r="AN428" s="30"/>
      <c r="AO428" s="30"/>
      <c r="AP428" s="30"/>
      <c r="AQ428" s="30"/>
    </row>
    <row r="429" spans="1:43" ht="12.75" customHeight="1">
      <c r="A429" s="27"/>
      <c r="B429" s="125"/>
      <c r="C429" s="222" t="str">
        <f>B348&amp;" - "&amp;V16</f>
        <v>Plastic Correction for Compressive Flange Buckling - 7075-T6 (QQ-A-250/12) - 0.040/0.125in</v>
      </c>
      <c r="D429" s="222"/>
      <c r="E429" s="222"/>
      <c r="F429" s="222"/>
      <c r="G429" s="222"/>
      <c r="H429" s="222"/>
      <c r="I429" s="222"/>
      <c r="J429" s="222"/>
      <c r="K429" s="19"/>
      <c r="L429" s="19"/>
      <c r="M429" s="91"/>
      <c r="N429" s="110"/>
      <c r="O429" s="111"/>
      <c r="P429" s="23"/>
      <c r="Q429" s="164"/>
      <c r="T429" s="62"/>
      <c r="U429" s="30"/>
      <c r="V429" s="30"/>
      <c r="W429" s="30"/>
      <c r="X429" s="30"/>
      <c r="Y429" s="30"/>
      <c r="Z429" s="30"/>
      <c r="AA429" s="30"/>
      <c r="AB429" s="30"/>
      <c r="AC429" s="30"/>
      <c r="AD429" s="30"/>
      <c r="AE429" s="30"/>
      <c r="AF429" s="30"/>
      <c r="AG429" s="30"/>
      <c r="AH429" s="30"/>
      <c r="AI429" s="30"/>
      <c r="AJ429" s="30"/>
      <c r="AK429" s="30"/>
      <c r="AL429" s="30"/>
      <c r="AM429" s="30"/>
      <c r="AN429" s="30"/>
      <c r="AO429" s="30"/>
      <c r="AP429" s="30"/>
      <c r="AQ429" s="30"/>
    </row>
    <row r="430" spans="1:43">
      <c r="A430" s="27"/>
      <c r="B430" s="67"/>
      <c r="C430" s="222"/>
      <c r="D430" s="222"/>
      <c r="E430" s="222"/>
      <c r="F430" s="222"/>
      <c r="G430" s="222"/>
      <c r="H430" s="222"/>
      <c r="I430" s="222"/>
      <c r="J430" s="222"/>
      <c r="K430" s="19"/>
      <c r="L430" s="19"/>
      <c r="M430" s="91"/>
      <c r="N430" s="110"/>
      <c r="O430" s="111"/>
      <c r="P430" s="23"/>
      <c r="Q430" s="164"/>
      <c r="T430" s="62"/>
      <c r="U430" s="30"/>
      <c r="V430" s="30"/>
      <c r="W430" s="30"/>
      <c r="X430" s="30"/>
      <c r="Y430" s="30"/>
      <c r="Z430" s="30"/>
      <c r="AA430" s="30"/>
      <c r="AB430" s="30"/>
      <c r="AC430" s="30"/>
      <c r="AD430" s="30"/>
      <c r="AE430" s="30"/>
      <c r="AF430" s="30"/>
      <c r="AG430" s="30"/>
      <c r="AH430" s="30"/>
      <c r="AI430" s="30"/>
      <c r="AJ430" s="30"/>
      <c r="AK430" s="30"/>
      <c r="AL430" s="30"/>
      <c r="AM430" s="30"/>
      <c r="AN430" s="30"/>
      <c r="AO430" s="30"/>
      <c r="AP430" s="30"/>
      <c r="AQ430" s="30"/>
    </row>
    <row r="431" spans="1:43">
      <c r="A431" s="27"/>
      <c r="B431" s="67"/>
      <c r="C431" s="38"/>
      <c r="D431" s="29"/>
      <c r="E431" s="29"/>
      <c r="F431" s="29"/>
      <c r="G431" s="29"/>
      <c r="H431" s="29"/>
      <c r="I431" s="19"/>
      <c r="J431" s="19"/>
      <c r="K431" s="19"/>
      <c r="L431" s="19"/>
      <c r="M431" s="91"/>
      <c r="N431" s="110"/>
      <c r="O431" s="111"/>
      <c r="P431" s="23"/>
      <c r="Q431" s="164"/>
      <c r="T431" s="62"/>
      <c r="U431" s="30"/>
      <c r="V431" s="30"/>
      <c r="W431" s="30"/>
      <c r="X431" s="30"/>
      <c r="Y431" s="30"/>
      <c r="Z431" s="30"/>
      <c r="AA431" s="30"/>
      <c r="AB431" s="30"/>
      <c r="AC431" s="30"/>
      <c r="AD431" s="30"/>
      <c r="AE431" s="30"/>
      <c r="AF431" s="30"/>
      <c r="AG431" s="30"/>
      <c r="AH431" s="30"/>
      <c r="AI431" s="30"/>
      <c r="AJ431" s="30"/>
      <c r="AK431" s="30"/>
      <c r="AL431" s="30"/>
      <c r="AM431" s="30"/>
      <c r="AN431" s="30"/>
      <c r="AO431" s="30"/>
      <c r="AP431" s="30"/>
      <c r="AQ431" s="30"/>
    </row>
    <row r="432" spans="1:43">
      <c r="A432" s="27"/>
      <c r="B432" s="67"/>
      <c r="C432" s="38"/>
      <c r="D432" s="29"/>
      <c r="E432" s="29"/>
      <c r="F432" s="29"/>
      <c r="G432" s="29"/>
      <c r="H432" s="29"/>
      <c r="I432" s="19"/>
      <c r="J432" s="19"/>
      <c r="K432" s="19"/>
      <c r="L432" s="19"/>
      <c r="M432" s="91"/>
      <c r="N432" s="110"/>
      <c r="O432" s="111"/>
      <c r="P432" s="23"/>
      <c r="Q432" s="164"/>
      <c r="T432" s="62"/>
      <c r="U432" s="30"/>
      <c r="V432" s="30"/>
      <c r="W432" s="30"/>
      <c r="X432" s="30"/>
      <c r="Y432" s="30"/>
      <c r="Z432" s="30"/>
      <c r="AA432" s="30"/>
      <c r="AB432" s="30"/>
      <c r="AC432" s="30"/>
      <c r="AD432" s="30"/>
      <c r="AE432" s="30"/>
      <c r="AF432" s="30"/>
      <c r="AG432" s="30"/>
      <c r="AH432" s="30"/>
      <c r="AI432" s="30"/>
      <c r="AJ432" s="30"/>
      <c r="AK432" s="30"/>
      <c r="AL432" s="30"/>
      <c r="AM432" s="30"/>
      <c r="AN432" s="30"/>
      <c r="AO432" s="30"/>
      <c r="AP432" s="30"/>
      <c r="AQ432" s="30"/>
    </row>
    <row r="433" spans="1:43">
      <c r="A433" s="27"/>
      <c r="B433" s="67"/>
      <c r="C433" s="38"/>
      <c r="D433" s="29"/>
      <c r="E433" s="29"/>
      <c r="F433" s="29"/>
      <c r="G433" s="29"/>
      <c r="H433" s="29"/>
      <c r="I433" s="19"/>
      <c r="J433" s="19"/>
      <c r="K433" s="19"/>
      <c r="L433" s="19"/>
      <c r="M433" s="91"/>
      <c r="N433" s="110"/>
      <c r="O433" s="111"/>
      <c r="P433" s="23"/>
      <c r="Q433" s="164"/>
      <c r="T433" s="62"/>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row>
    <row r="434" spans="1:43">
      <c r="A434" s="27"/>
      <c r="B434" s="67"/>
      <c r="C434" s="38"/>
      <c r="D434" s="29"/>
      <c r="E434" s="29"/>
      <c r="F434" s="29"/>
      <c r="G434" s="29"/>
      <c r="H434" s="29"/>
      <c r="I434" s="19"/>
      <c r="J434" s="19"/>
      <c r="K434" s="19"/>
      <c r="L434" s="19"/>
      <c r="M434" s="91"/>
      <c r="N434" s="110"/>
      <c r="O434" s="111"/>
      <c r="P434" s="23"/>
      <c r="Q434" s="164"/>
      <c r="T434" s="62"/>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row>
    <row r="435" spans="1:43">
      <c r="A435" s="27"/>
      <c r="B435" s="67"/>
      <c r="C435" s="123"/>
      <c r="D435" s="29"/>
      <c r="E435" s="67"/>
      <c r="F435" s="123"/>
      <c r="G435" s="29"/>
      <c r="H435" s="29"/>
      <c r="I435" s="19"/>
      <c r="J435" s="19"/>
      <c r="K435" s="19"/>
      <c r="L435" s="19"/>
      <c r="M435" s="91"/>
      <c r="N435" s="110"/>
      <c r="O435" s="111"/>
      <c r="P435" s="23"/>
      <c r="Q435" s="164"/>
      <c r="T435" s="62"/>
      <c r="U435" s="30"/>
      <c r="V435" s="30"/>
      <c r="W435" s="30"/>
      <c r="X435" s="30"/>
      <c r="Y435" s="30"/>
      <c r="Z435" s="30"/>
      <c r="AA435" s="30"/>
      <c r="AB435" s="30"/>
      <c r="AC435" s="30"/>
      <c r="AD435" s="30"/>
      <c r="AE435" s="30"/>
      <c r="AF435" s="30"/>
      <c r="AG435" s="30"/>
      <c r="AH435" s="30"/>
      <c r="AI435" s="30"/>
      <c r="AJ435" s="30"/>
      <c r="AK435" s="30"/>
      <c r="AL435" s="30"/>
      <c r="AM435" s="30"/>
      <c r="AN435" s="30"/>
      <c r="AO435" s="30"/>
      <c r="AP435" s="30"/>
      <c r="AQ435" s="30"/>
    </row>
    <row r="436" spans="1:43">
      <c r="A436" s="27"/>
      <c r="B436" s="67"/>
      <c r="C436" s="34"/>
      <c r="D436" s="29"/>
      <c r="E436" s="67"/>
      <c r="F436" s="123"/>
      <c r="G436" s="29"/>
      <c r="H436" s="29"/>
      <c r="I436" s="124"/>
      <c r="J436" s="19"/>
      <c r="K436" s="19"/>
      <c r="L436" s="19"/>
      <c r="M436" s="91"/>
      <c r="N436" s="110"/>
      <c r="O436" s="111"/>
      <c r="P436" s="23"/>
      <c r="Q436" s="164"/>
      <c r="T436" s="62"/>
      <c r="U436" s="30"/>
      <c r="V436" s="30"/>
      <c r="W436" s="30"/>
      <c r="X436" s="30"/>
      <c r="Y436" s="30"/>
      <c r="Z436" s="30"/>
      <c r="AA436" s="30"/>
      <c r="AB436" s="30"/>
      <c r="AC436" s="30"/>
      <c r="AD436" s="30"/>
      <c r="AE436" s="30"/>
      <c r="AF436" s="30"/>
      <c r="AG436" s="30"/>
      <c r="AH436" s="30"/>
      <c r="AI436" s="30"/>
      <c r="AJ436" s="30"/>
      <c r="AK436" s="30"/>
      <c r="AL436" s="30"/>
      <c r="AM436" s="30"/>
      <c r="AN436" s="30"/>
      <c r="AO436" s="30"/>
      <c r="AP436" s="30"/>
      <c r="AQ436" s="30"/>
    </row>
    <row r="437" spans="1:43">
      <c r="A437" s="27"/>
      <c r="B437" s="67"/>
      <c r="C437" s="123"/>
      <c r="D437" s="29"/>
      <c r="E437" s="67"/>
      <c r="F437" s="123"/>
      <c r="G437" s="29"/>
      <c r="H437" s="29"/>
      <c r="I437" s="19"/>
      <c r="J437" s="19"/>
      <c r="K437" s="19"/>
      <c r="L437" s="19"/>
      <c r="M437" s="91"/>
      <c r="N437" s="110"/>
      <c r="O437" s="111"/>
      <c r="P437" s="23"/>
      <c r="Q437" s="164"/>
      <c r="T437" s="62"/>
      <c r="U437" s="30"/>
      <c r="V437" s="30"/>
      <c r="W437" s="30"/>
      <c r="X437" s="30"/>
      <c r="Y437" s="30"/>
      <c r="Z437" s="30"/>
      <c r="AA437" s="30"/>
      <c r="AB437" s="30"/>
      <c r="AC437" s="30"/>
      <c r="AD437" s="30"/>
      <c r="AE437" s="30"/>
      <c r="AF437" s="30"/>
      <c r="AG437" s="30"/>
      <c r="AH437" s="30"/>
      <c r="AI437" s="30"/>
      <c r="AJ437" s="30"/>
      <c r="AK437" s="30"/>
      <c r="AL437" s="30"/>
      <c r="AM437" s="30"/>
      <c r="AN437" s="30"/>
      <c r="AO437" s="30"/>
      <c r="AP437" s="30"/>
      <c r="AQ437" s="30"/>
    </row>
    <row r="438" spans="1:43">
      <c r="A438" s="27"/>
      <c r="B438" s="27"/>
      <c r="C438" s="27"/>
      <c r="D438" s="117"/>
      <c r="E438" s="117"/>
      <c r="F438" s="122"/>
      <c r="G438" s="27"/>
      <c r="H438" s="27"/>
      <c r="I438" s="19"/>
      <c r="J438" s="19"/>
      <c r="K438" s="19"/>
      <c r="L438" s="23"/>
      <c r="M438" s="91"/>
      <c r="N438" s="110"/>
      <c r="O438" s="111"/>
      <c r="P438" s="23"/>
      <c r="Q438" s="164"/>
      <c r="T438" s="62"/>
      <c r="U438" s="30"/>
      <c r="V438" s="30"/>
      <c r="W438" s="30"/>
      <c r="X438" s="30"/>
      <c r="Y438" s="30"/>
      <c r="Z438" s="30"/>
      <c r="AA438" s="30"/>
      <c r="AB438" s="30"/>
      <c r="AC438" s="30"/>
      <c r="AD438" s="30"/>
      <c r="AE438" s="30"/>
      <c r="AF438" s="30"/>
      <c r="AG438" s="30"/>
      <c r="AH438" s="30"/>
      <c r="AI438" s="30"/>
      <c r="AJ438" s="30"/>
      <c r="AK438" s="30"/>
      <c r="AL438" s="30"/>
      <c r="AM438" s="30"/>
      <c r="AN438" s="30"/>
      <c r="AO438" s="30"/>
      <c r="AP438" s="30"/>
      <c r="AQ438" s="30"/>
    </row>
    <row r="439" spans="1:43">
      <c r="A439" s="27"/>
      <c r="B439" s="27"/>
      <c r="C439" s="38"/>
      <c r="D439" s="29"/>
      <c r="E439" s="29"/>
      <c r="F439" s="29"/>
      <c r="G439" s="29"/>
      <c r="H439" s="29"/>
      <c r="I439" s="19"/>
      <c r="J439" s="19"/>
      <c r="K439" s="19"/>
      <c r="L439" s="19"/>
      <c r="M439" s="91"/>
      <c r="N439" s="110"/>
      <c r="O439" s="111"/>
      <c r="P439" s="23"/>
      <c r="Q439" s="164"/>
      <c r="T439" s="62"/>
      <c r="U439" s="30"/>
      <c r="V439" s="30"/>
      <c r="W439" s="30"/>
      <c r="X439" s="30"/>
      <c r="Y439" s="30"/>
      <c r="Z439" s="30"/>
      <c r="AA439" s="30"/>
      <c r="AB439" s="30"/>
      <c r="AC439" s="30"/>
      <c r="AD439" s="30"/>
      <c r="AE439" s="30"/>
      <c r="AF439" s="30"/>
      <c r="AG439" s="30"/>
      <c r="AH439" s="30"/>
      <c r="AI439" s="30"/>
      <c r="AJ439" s="30"/>
      <c r="AK439" s="30"/>
      <c r="AL439" s="30"/>
      <c r="AM439" s="30"/>
      <c r="AN439" s="30"/>
      <c r="AO439" s="30"/>
      <c r="AP439" s="30"/>
      <c r="AQ439" s="30"/>
    </row>
    <row r="440" spans="1:43">
      <c r="A440" s="27"/>
      <c r="B440" s="27"/>
      <c r="C440" s="38"/>
      <c r="D440" s="29"/>
      <c r="E440" s="29"/>
      <c r="F440" s="29"/>
      <c r="G440" s="29"/>
      <c r="H440" s="29"/>
      <c r="I440" s="19"/>
      <c r="J440" s="19"/>
      <c r="K440" s="19"/>
      <c r="L440" s="19"/>
      <c r="M440" s="91"/>
      <c r="N440" s="110"/>
      <c r="O440" s="111"/>
      <c r="P440" s="23"/>
      <c r="Q440" s="164"/>
      <c r="T440" s="62"/>
      <c r="U440" s="30"/>
      <c r="V440" s="30"/>
      <c r="W440" s="30"/>
      <c r="X440" s="30"/>
      <c r="Y440" s="30"/>
      <c r="Z440" s="30"/>
      <c r="AA440" s="30"/>
      <c r="AB440" s="30"/>
      <c r="AC440" s="30"/>
      <c r="AD440" s="30"/>
      <c r="AE440" s="30"/>
      <c r="AF440" s="30"/>
      <c r="AG440" s="30"/>
      <c r="AH440" s="30"/>
      <c r="AI440" s="30"/>
      <c r="AJ440" s="30"/>
      <c r="AK440" s="30"/>
      <c r="AL440" s="30"/>
      <c r="AM440" s="30"/>
      <c r="AN440" s="30"/>
      <c r="AO440" s="30"/>
      <c r="AP440" s="30"/>
      <c r="AQ440" s="30"/>
    </row>
    <row r="441" spans="1:43">
      <c r="A441" s="27"/>
      <c r="B441" s="27"/>
      <c r="C441" s="38"/>
      <c r="D441" s="29"/>
      <c r="E441" s="29"/>
      <c r="F441" s="29"/>
      <c r="G441" s="29"/>
      <c r="H441" s="29"/>
      <c r="I441" s="19"/>
      <c r="J441" s="19"/>
      <c r="K441" s="19"/>
      <c r="L441" s="19"/>
      <c r="M441" s="91"/>
      <c r="N441" s="110"/>
      <c r="O441" s="111"/>
      <c r="P441" s="23"/>
      <c r="Q441" s="164"/>
      <c r="T441" s="62"/>
      <c r="U441" s="30"/>
      <c r="V441" s="30"/>
      <c r="W441" s="30"/>
      <c r="X441" s="30"/>
      <c r="Y441" s="30"/>
      <c r="Z441" s="30"/>
      <c r="AA441" s="30"/>
      <c r="AB441" s="30"/>
      <c r="AC441" s="30"/>
      <c r="AD441" s="30"/>
      <c r="AE441" s="30"/>
      <c r="AF441" s="30"/>
      <c r="AG441" s="30"/>
      <c r="AH441" s="30"/>
      <c r="AI441" s="30"/>
      <c r="AJ441" s="30"/>
      <c r="AK441" s="30"/>
      <c r="AL441" s="30"/>
      <c r="AM441" s="30"/>
      <c r="AN441" s="30"/>
      <c r="AO441" s="30"/>
      <c r="AP441" s="30"/>
      <c r="AQ441" s="30"/>
    </row>
    <row r="442" spans="1:43">
      <c r="A442" s="27"/>
      <c r="B442" s="27"/>
      <c r="C442" s="38"/>
      <c r="D442" s="29"/>
      <c r="E442" s="29"/>
      <c r="F442" s="29"/>
      <c r="G442" s="29"/>
      <c r="H442" s="29"/>
      <c r="I442" s="19"/>
      <c r="J442" s="19"/>
      <c r="K442" s="19"/>
      <c r="L442" s="19"/>
      <c r="M442" s="91"/>
      <c r="N442" s="110"/>
      <c r="O442" s="111"/>
      <c r="P442" s="23"/>
      <c r="Q442" s="164"/>
      <c r="T442" s="62"/>
      <c r="U442" s="30"/>
      <c r="V442" s="30"/>
      <c r="W442" s="30"/>
      <c r="X442" s="30"/>
      <c r="Y442" s="30"/>
      <c r="Z442" s="30"/>
      <c r="AA442" s="30"/>
      <c r="AB442" s="30"/>
      <c r="AC442" s="30"/>
      <c r="AD442" s="30"/>
      <c r="AE442" s="30"/>
      <c r="AF442" s="30"/>
      <c r="AG442" s="30"/>
      <c r="AH442" s="30"/>
      <c r="AI442" s="30"/>
      <c r="AJ442" s="30"/>
      <c r="AK442" s="30"/>
      <c r="AL442" s="30"/>
      <c r="AM442" s="30"/>
      <c r="AN442" s="30"/>
      <c r="AO442" s="30"/>
      <c r="AP442" s="30"/>
      <c r="AQ442" s="30"/>
    </row>
    <row r="443" spans="1:43">
      <c r="A443" s="27"/>
      <c r="B443" s="27"/>
      <c r="C443" s="38"/>
      <c r="D443" s="29"/>
      <c r="E443" s="29"/>
      <c r="F443" s="29"/>
      <c r="G443" s="29"/>
      <c r="H443" s="29"/>
      <c r="I443" s="19"/>
      <c r="J443" s="19"/>
      <c r="K443" s="19"/>
      <c r="L443" s="19"/>
      <c r="M443" s="91"/>
      <c r="N443" s="110"/>
      <c r="O443" s="111"/>
      <c r="P443" s="23"/>
      <c r="Q443" s="164"/>
      <c r="T443" s="62"/>
      <c r="U443" s="30"/>
      <c r="V443" s="30"/>
      <c r="W443" s="30"/>
      <c r="X443" s="30"/>
      <c r="Y443" s="30"/>
      <c r="Z443" s="30"/>
      <c r="AA443" s="30"/>
      <c r="AB443" s="30"/>
      <c r="AC443" s="30"/>
      <c r="AD443" s="30"/>
      <c r="AE443" s="30"/>
      <c r="AF443" s="30"/>
      <c r="AG443" s="30"/>
      <c r="AH443" s="30"/>
      <c r="AI443" s="30"/>
      <c r="AJ443" s="30"/>
      <c r="AK443" s="30"/>
      <c r="AL443" s="30"/>
      <c r="AM443" s="30"/>
      <c r="AN443" s="30"/>
      <c r="AO443" s="30"/>
      <c r="AP443" s="30"/>
      <c r="AQ443" s="30"/>
    </row>
    <row r="444" spans="1:43">
      <c r="A444" s="27"/>
      <c r="B444" s="27"/>
      <c r="C444" s="38"/>
      <c r="D444" s="29"/>
      <c r="E444" s="29"/>
      <c r="F444" s="29"/>
      <c r="G444" s="29"/>
      <c r="H444" s="29"/>
      <c r="I444" s="19"/>
      <c r="J444" s="19"/>
      <c r="K444" s="19"/>
      <c r="L444" s="19"/>
      <c r="M444" s="91"/>
      <c r="N444" s="110"/>
      <c r="O444" s="111"/>
      <c r="P444" s="23"/>
      <c r="Q444" s="164"/>
      <c r="T444" s="62"/>
      <c r="U444" s="30"/>
      <c r="V444" s="30"/>
      <c r="W444" s="30"/>
      <c r="X444" s="30"/>
      <c r="Y444" s="30"/>
      <c r="Z444" s="30"/>
      <c r="AA444" s="30"/>
      <c r="AB444" s="30"/>
      <c r="AC444" s="30"/>
      <c r="AD444" s="30"/>
      <c r="AE444" s="30"/>
      <c r="AF444" s="30"/>
      <c r="AG444" s="30"/>
      <c r="AH444" s="30"/>
      <c r="AI444" s="30"/>
      <c r="AJ444" s="30"/>
      <c r="AK444" s="30"/>
      <c r="AL444" s="30"/>
      <c r="AM444" s="30"/>
      <c r="AN444" s="30"/>
      <c r="AO444" s="30"/>
      <c r="AP444" s="30"/>
      <c r="AQ444" s="30"/>
    </row>
    <row r="445" spans="1:43">
      <c r="A445" s="27"/>
      <c r="B445" s="27"/>
      <c r="C445" s="38"/>
      <c r="D445" s="29"/>
      <c r="E445" s="29"/>
      <c r="F445" s="29"/>
      <c r="G445" s="29"/>
      <c r="H445" s="29"/>
      <c r="I445" s="19"/>
      <c r="J445" s="19"/>
      <c r="K445" s="19"/>
      <c r="L445" s="19"/>
      <c r="M445" s="91"/>
      <c r="N445" s="110"/>
      <c r="O445" s="111"/>
      <c r="P445" s="23"/>
      <c r="Q445" s="164"/>
      <c r="T445" s="62"/>
      <c r="U445" s="30"/>
      <c r="V445" s="30"/>
      <c r="W445" s="30"/>
      <c r="X445" s="30"/>
      <c r="Y445" s="30"/>
      <c r="Z445" s="30"/>
      <c r="AA445" s="30"/>
      <c r="AB445" s="30"/>
      <c r="AC445" s="30"/>
      <c r="AD445" s="30"/>
      <c r="AE445" s="30"/>
      <c r="AF445" s="30"/>
      <c r="AG445" s="30"/>
      <c r="AH445" s="30"/>
      <c r="AI445" s="30"/>
      <c r="AJ445" s="30"/>
      <c r="AK445" s="30"/>
      <c r="AL445" s="30"/>
      <c r="AM445" s="30"/>
      <c r="AN445" s="30"/>
      <c r="AO445" s="30"/>
      <c r="AP445" s="30"/>
      <c r="AQ445" s="30"/>
    </row>
    <row r="446" spans="1:43">
      <c r="A446" s="27"/>
      <c r="B446" s="27"/>
      <c r="C446" s="38"/>
      <c r="D446" s="29"/>
      <c r="E446" s="29"/>
      <c r="F446" s="29"/>
      <c r="G446" s="29"/>
      <c r="H446" s="29"/>
      <c r="I446" s="19"/>
      <c r="J446" s="19"/>
      <c r="K446" s="19"/>
      <c r="L446" s="19"/>
      <c r="M446" s="91"/>
      <c r="N446" s="110"/>
      <c r="O446" s="111"/>
      <c r="P446" s="23"/>
      <c r="Q446" s="164"/>
      <c r="T446" s="62"/>
      <c r="U446" s="30"/>
      <c r="V446" s="30"/>
      <c r="W446" s="30"/>
      <c r="X446" s="30"/>
      <c r="Y446" s="30"/>
      <c r="Z446" s="30"/>
      <c r="AA446" s="30"/>
      <c r="AB446" s="30"/>
      <c r="AC446" s="30"/>
      <c r="AD446" s="30"/>
      <c r="AE446" s="30"/>
      <c r="AF446" s="30"/>
      <c r="AG446" s="30"/>
      <c r="AH446" s="30"/>
      <c r="AI446" s="30"/>
      <c r="AJ446" s="30"/>
      <c r="AK446" s="30"/>
      <c r="AL446" s="30"/>
      <c r="AM446" s="30"/>
      <c r="AN446" s="30"/>
      <c r="AO446" s="30"/>
      <c r="AP446" s="30"/>
      <c r="AQ446" s="30"/>
    </row>
    <row r="447" spans="1:43">
      <c r="A447" s="27"/>
      <c r="B447" s="27"/>
      <c r="C447" s="38"/>
      <c r="D447" s="29"/>
      <c r="E447" s="29"/>
      <c r="F447" s="29"/>
      <c r="G447" s="29"/>
      <c r="H447" s="29"/>
      <c r="I447" s="19"/>
      <c r="J447" s="19"/>
      <c r="K447" s="19"/>
      <c r="L447" s="19"/>
      <c r="M447" s="91"/>
      <c r="N447" s="110"/>
      <c r="O447" s="111"/>
      <c r="P447" s="23"/>
      <c r="Q447" s="164"/>
      <c r="T447" s="62"/>
      <c r="U447" s="30"/>
      <c r="V447" s="30"/>
      <c r="W447" s="30"/>
      <c r="X447" s="30"/>
      <c r="Y447" s="30"/>
      <c r="Z447" s="30"/>
      <c r="AA447" s="30"/>
      <c r="AB447" s="30"/>
      <c r="AC447" s="30"/>
      <c r="AD447" s="30"/>
      <c r="AE447" s="30"/>
      <c r="AF447" s="30"/>
      <c r="AG447" s="30"/>
      <c r="AH447" s="30"/>
      <c r="AI447" s="30"/>
      <c r="AJ447" s="30"/>
      <c r="AK447" s="30"/>
      <c r="AL447" s="30"/>
      <c r="AM447" s="30"/>
      <c r="AN447" s="30"/>
      <c r="AO447" s="30"/>
      <c r="AP447" s="30"/>
      <c r="AQ447" s="30"/>
    </row>
    <row r="448" spans="1:43">
      <c r="A448" s="27"/>
      <c r="B448" s="27"/>
      <c r="C448" s="38"/>
      <c r="D448" s="29"/>
      <c r="E448" s="29"/>
      <c r="F448" s="29"/>
      <c r="G448" s="29"/>
      <c r="H448" s="29"/>
      <c r="I448" s="19"/>
      <c r="J448" s="19"/>
      <c r="K448" s="19"/>
      <c r="L448" s="19"/>
      <c r="M448" s="91"/>
      <c r="N448" s="110"/>
      <c r="O448" s="111"/>
      <c r="P448" s="23"/>
      <c r="Q448" s="164"/>
      <c r="T448" s="62"/>
      <c r="U448" s="30"/>
      <c r="V448" s="30"/>
      <c r="W448" s="30"/>
      <c r="X448" s="30"/>
      <c r="Y448" s="30"/>
      <c r="Z448" s="30"/>
      <c r="AA448" s="30"/>
      <c r="AB448" s="30"/>
      <c r="AC448" s="30"/>
      <c r="AD448" s="30"/>
      <c r="AE448" s="30"/>
      <c r="AF448" s="30"/>
      <c r="AG448" s="30"/>
      <c r="AH448" s="30"/>
      <c r="AI448" s="30"/>
      <c r="AJ448" s="30"/>
      <c r="AK448" s="30"/>
      <c r="AL448" s="30"/>
      <c r="AM448" s="30"/>
      <c r="AN448" s="30"/>
      <c r="AO448" s="30"/>
      <c r="AP448" s="30"/>
      <c r="AQ448" s="30"/>
    </row>
    <row r="449" spans="1:43">
      <c r="A449" s="27"/>
      <c r="B449" s="27"/>
      <c r="C449" s="38"/>
      <c r="D449" s="29"/>
      <c r="E449" s="29"/>
      <c r="F449" s="29"/>
      <c r="G449" s="29"/>
      <c r="H449" s="29"/>
      <c r="I449" s="19"/>
      <c r="J449" s="19"/>
      <c r="K449" s="19"/>
      <c r="L449" s="19"/>
      <c r="M449" s="91"/>
      <c r="N449" s="110"/>
      <c r="O449" s="111"/>
      <c r="P449" s="23"/>
      <c r="Q449" s="164"/>
      <c r="T449" s="62"/>
      <c r="U449" s="30"/>
      <c r="V449" s="30"/>
      <c r="W449" s="30"/>
      <c r="X449" s="30"/>
      <c r="Y449" s="30"/>
      <c r="Z449" s="30"/>
      <c r="AA449" s="30"/>
      <c r="AB449" s="30"/>
      <c r="AC449" s="30"/>
      <c r="AD449" s="30"/>
      <c r="AE449" s="30"/>
      <c r="AF449" s="30"/>
      <c r="AG449" s="30"/>
      <c r="AH449" s="30"/>
      <c r="AI449" s="30"/>
      <c r="AJ449" s="30"/>
      <c r="AK449" s="30"/>
      <c r="AL449" s="30"/>
      <c r="AM449" s="30"/>
      <c r="AN449" s="30"/>
      <c r="AO449" s="30"/>
      <c r="AP449" s="30"/>
      <c r="AQ449" s="30"/>
    </row>
    <row r="450" spans="1:43">
      <c r="A450" s="27"/>
      <c r="B450" s="8"/>
      <c r="C450" s="80"/>
      <c r="D450" s="27"/>
      <c r="E450" s="27"/>
      <c r="F450" s="27"/>
      <c r="G450" s="80"/>
      <c r="H450" s="27"/>
      <c r="I450" s="27"/>
      <c r="J450" s="27"/>
      <c r="K450" s="27"/>
      <c r="L450" s="19"/>
      <c r="M450" s="91"/>
      <c r="N450" s="110"/>
      <c r="O450" s="111"/>
      <c r="P450" s="23"/>
      <c r="Q450" s="164"/>
      <c r="T450" s="62"/>
      <c r="U450" s="30"/>
      <c r="V450" s="30"/>
      <c r="W450" s="30"/>
      <c r="X450" s="30"/>
      <c r="Y450" s="30"/>
      <c r="Z450" s="30"/>
      <c r="AA450" s="30"/>
      <c r="AB450" s="30"/>
      <c r="AC450" s="30"/>
      <c r="AD450" s="30"/>
      <c r="AE450" s="30"/>
      <c r="AF450" s="30"/>
      <c r="AG450" s="30"/>
      <c r="AH450" s="30"/>
      <c r="AI450" s="30"/>
      <c r="AJ450" s="30"/>
      <c r="AK450" s="30"/>
      <c r="AL450" s="30"/>
      <c r="AM450" s="30"/>
      <c r="AN450" s="30"/>
      <c r="AO450" s="30"/>
      <c r="AP450" s="30"/>
      <c r="AQ450" s="30"/>
    </row>
    <row r="451" spans="1:43">
      <c r="A451" s="27"/>
      <c r="B451" s="193"/>
      <c r="C451" s="80"/>
      <c r="D451" s="28"/>
      <c r="E451" s="28"/>
      <c r="F451" s="194" t="s">
        <v>276</v>
      </c>
      <c r="G451" s="80"/>
      <c r="H451" s="28"/>
      <c r="I451" s="28"/>
      <c r="J451" s="28"/>
      <c r="K451" s="27"/>
      <c r="L451" s="19"/>
      <c r="M451" s="91"/>
      <c r="N451" s="110"/>
      <c r="O451" s="111"/>
      <c r="P451" s="23"/>
      <c r="Q451" s="164"/>
      <c r="T451" s="62"/>
      <c r="U451" s="30"/>
      <c r="V451" s="30"/>
      <c r="W451" s="30"/>
      <c r="X451" s="30"/>
      <c r="Y451" s="30"/>
      <c r="Z451" s="30"/>
      <c r="AA451" s="30"/>
      <c r="AB451" s="30"/>
      <c r="AC451" s="30"/>
      <c r="AD451" s="30"/>
      <c r="AE451" s="30"/>
      <c r="AF451" s="30"/>
      <c r="AG451" s="30"/>
      <c r="AH451" s="30"/>
      <c r="AI451" s="30"/>
      <c r="AJ451" s="30"/>
      <c r="AK451" s="30"/>
      <c r="AL451" s="30"/>
      <c r="AM451" s="30"/>
      <c r="AN451" s="30"/>
      <c r="AO451" s="30"/>
      <c r="AP451" s="30"/>
      <c r="AQ451" s="30"/>
    </row>
    <row r="452" spans="1:43">
      <c r="A452" s="27"/>
      <c r="B452" s="28"/>
      <c r="C452" s="28"/>
      <c r="D452" s="28"/>
      <c r="E452" s="28"/>
      <c r="F452" s="204" t="s">
        <v>292</v>
      </c>
      <c r="G452" s="28"/>
      <c r="H452" s="28"/>
      <c r="I452" s="28"/>
      <c r="J452" s="28"/>
      <c r="K452" s="27"/>
      <c r="L452" s="19"/>
      <c r="M452" s="160"/>
      <c r="N452" s="110"/>
      <c r="O452" s="111"/>
      <c r="P452" s="23"/>
      <c r="Q452" s="164"/>
      <c r="T452" s="62"/>
      <c r="U452" s="30"/>
      <c r="V452" s="30"/>
      <c r="W452" s="30"/>
      <c r="X452" s="30"/>
      <c r="Y452" s="30"/>
      <c r="Z452" s="30"/>
      <c r="AA452" s="30"/>
      <c r="AB452" s="30"/>
      <c r="AC452" s="30"/>
      <c r="AD452" s="30"/>
      <c r="AE452" s="30"/>
      <c r="AF452" s="30"/>
      <c r="AG452" s="30"/>
      <c r="AH452" s="30"/>
      <c r="AI452" s="30"/>
      <c r="AJ452" s="30"/>
      <c r="AK452" s="30"/>
      <c r="AL452" s="30"/>
      <c r="AM452" s="30"/>
      <c r="AN452" s="30"/>
      <c r="AO452" s="30"/>
      <c r="AP452" s="30"/>
      <c r="AQ452" s="30"/>
    </row>
    <row r="453" spans="1:43">
      <c r="A453" s="146"/>
      <c r="B453" s="141"/>
      <c r="C453" s="141"/>
      <c r="D453" s="141"/>
      <c r="E453" s="13" t="s">
        <v>47</v>
      </c>
      <c r="F453" s="14" t="str">
        <f>$C$1</f>
        <v>R. Abbott</v>
      </c>
      <c r="G453" s="15"/>
      <c r="H453" s="16"/>
      <c r="I453" s="13" t="s">
        <v>53</v>
      </c>
      <c r="J453" s="17" t="str">
        <f>$G$2</f>
        <v>AA-SM-000-001</v>
      </c>
      <c r="K453" s="16"/>
      <c r="L453" s="18"/>
      <c r="N453" s="110"/>
      <c r="O453" s="111"/>
      <c r="P453" s="23"/>
      <c r="Q453" s="164"/>
      <c r="T453" s="62"/>
      <c r="U453" s="30"/>
      <c r="V453" s="30"/>
      <c r="W453" s="30"/>
      <c r="X453" s="30"/>
      <c r="Y453" s="30"/>
      <c r="Z453" s="30"/>
      <c r="AA453" s="30"/>
      <c r="AB453" s="30"/>
      <c r="AC453" s="30"/>
      <c r="AD453" s="30"/>
      <c r="AE453" s="30"/>
      <c r="AF453" s="30"/>
      <c r="AG453" s="30"/>
      <c r="AH453" s="30"/>
      <c r="AI453" s="30"/>
      <c r="AJ453" s="30"/>
      <c r="AK453" s="30"/>
      <c r="AL453" s="30"/>
      <c r="AM453" s="30"/>
      <c r="AN453" s="30"/>
      <c r="AO453" s="30"/>
      <c r="AP453" s="30"/>
      <c r="AQ453" s="30"/>
    </row>
    <row r="454" spans="1:43">
      <c r="A454" s="141"/>
      <c r="B454" s="141"/>
      <c r="C454" s="141"/>
      <c r="D454" s="141"/>
      <c r="E454" s="13" t="s">
        <v>49</v>
      </c>
      <c r="F454" s="16" t="str">
        <f>$C$2</f>
        <v xml:space="preserve"> </v>
      </c>
      <c r="G454" s="15"/>
      <c r="H454" s="16"/>
      <c r="I454" s="13" t="s">
        <v>54</v>
      </c>
      <c r="J454" s="16" t="str">
        <f>$G$3</f>
        <v>C</v>
      </c>
      <c r="K454" s="16"/>
      <c r="L454" s="18"/>
      <c r="M454" s="10">
        <v>1</v>
      </c>
      <c r="N454" s="110"/>
      <c r="O454" s="111"/>
      <c r="P454" s="23"/>
      <c r="Q454" s="164"/>
      <c r="T454" s="62"/>
      <c r="U454" s="30"/>
      <c r="V454" s="30"/>
      <c r="W454" s="30"/>
      <c r="X454" s="30"/>
      <c r="Y454" s="30"/>
      <c r="Z454" s="30"/>
      <c r="AA454" s="30"/>
      <c r="AB454" s="30"/>
      <c r="AC454" s="30"/>
      <c r="AD454" s="30"/>
      <c r="AE454" s="30"/>
      <c r="AF454" s="30"/>
      <c r="AG454" s="30"/>
      <c r="AH454" s="30"/>
      <c r="AI454" s="30"/>
      <c r="AJ454" s="30"/>
      <c r="AK454" s="30"/>
      <c r="AL454" s="30"/>
      <c r="AM454" s="30"/>
      <c r="AN454" s="30"/>
      <c r="AO454" s="30"/>
      <c r="AP454" s="30"/>
      <c r="AQ454" s="30"/>
    </row>
    <row r="455" spans="1:43">
      <c r="A455" s="141"/>
      <c r="B455" s="141"/>
      <c r="C455" s="141"/>
      <c r="D455" s="141"/>
      <c r="E455" s="13" t="s">
        <v>0</v>
      </c>
      <c r="F455" s="16" t="str">
        <f>$C$3</f>
        <v>Jul-10</v>
      </c>
      <c r="G455" s="15"/>
      <c r="H455" s="16"/>
      <c r="I455" s="13" t="s">
        <v>55</v>
      </c>
      <c r="J455" s="14" t="str">
        <f>L455&amp;" of "&amp;$G$1</f>
        <v>9 of 1</v>
      </c>
      <c r="K455" s="16"/>
      <c r="L455" s="18">
        <f>SUM($M$1:M454)</f>
        <v>9</v>
      </c>
      <c r="N455" s="110"/>
      <c r="O455" s="111"/>
      <c r="P455" s="23"/>
      <c r="Q455" s="164"/>
      <c r="T455" s="62"/>
      <c r="U455" s="30"/>
      <c r="V455" s="30"/>
      <c r="W455" s="30"/>
      <c r="X455" s="30"/>
      <c r="Y455" s="30"/>
      <c r="Z455" s="30"/>
      <c r="AA455" s="30"/>
      <c r="AB455" s="30"/>
      <c r="AC455" s="30"/>
      <c r="AD455" s="30"/>
      <c r="AE455" s="30"/>
      <c r="AF455" s="30"/>
      <c r="AG455" s="30"/>
      <c r="AH455" s="30"/>
      <c r="AI455" s="30"/>
      <c r="AJ455" s="30"/>
      <c r="AK455" s="30"/>
      <c r="AL455" s="30"/>
      <c r="AM455" s="30"/>
      <c r="AN455" s="30"/>
      <c r="AO455" s="30"/>
      <c r="AP455" s="30"/>
      <c r="AQ455" s="30"/>
    </row>
    <row r="456" spans="1:43">
      <c r="A456" s="3"/>
      <c r="B456" s="3"/>
      <c r="C456" s="3"/>
      <c r="D456" s="3"/>
      <c r="E456" s="142" t="s">
        <v>291</v>
      </c>
      <c r="F456" s="147" t="str">
        <f>$C$5</f>
        <v>STANDARD SPREADSHEET METHOD</v>
      </c>
      <c r="G456" s="15"/>
      <c r="H456" s="15"/>
      <c r="I456" s="15"/>
      <c r="J456" s="15"/>
      <c r="K456" s="15"/>
      <c r="L456" s="18"/>
      <c r="N456" s="110"/>
      <c r="O456" s="111"/>
      <c r="P456" s="23"/>
      <c r="Q456" s="164"/>
      <c r="T456" s="62"/>
      <c r="U456" s="30"/>
      <c r="V456" s="30"/>
      <c r="W456" s="30"/>
      <c r="X456" s="30"/>
      <c r="Y456" s="30"/>
      <c r="Z456" s="30"/>
      <c r="AA456" s="30"/>
      <c r="AB456" s="30"/>
      <c r="AC456" s="30"/>
      <c r="AD456" s="30"/>
      <c r="AE456" s="30"/>
      <c r="AF456" s="30"/>
      <c r="AG456" s="30"/>
      <c r="AH456" s="30"/>
      <c r="AI456" s="30"/>
      <c r="AJ456" s="30"/>
      <c r="AK456" s="30"/>
      <c r="AL456" s="30"/>
      <c r="AM456" s="30"/>
      <c r="AN456" s="30"/>
      <c r="AO456" s="30"/>
      <c r="AP456" s="30"/>
      <c r="AQ456" s="30"/>
    </row>
    <row r="457" spans="1:43" ht="15.6">
      <c r="A457" s="27"/>
      <c r="B457" s="26" t="str">
        <f>$G$4</f>
        <v>ALUMINUM MATERIAL DATA</v>
      </c>
      <c r="C457" s="27"/>
      <c r="D457" s="29"/>
      <c r="E457" s="29"/>
      <c r="F457" s="29"/>
      <c r="G457" s="29"/>
      <c r="H457" s="29"/>
      <c r="I457" s="19"/>
      <c r="J457" s="19"/>
      <c r="K457" s="19"/>
      <c r="L457" s="19"/>
      <c r="M457" s="91"/>
      <c r="N457" s="110"/>
      <c r="O457" s="111"/>
      <c r="P457" s="23"/>
      <c r="Q457" s="164"/>
      <c r="T457" s="62"/>
      <c r="U457" s="30"/>
      <c r="V457" s="30"/>
      <c r="W457" s="30"/>
      <c r="X457" s="30"/>
      <c r="Y457" s="30"/>
      <c r="Z457" s="30"/>
      <c r="AA457" s="30"/>
      <c r="AB457" s="30"/>
      <c r="AC457" s="30"/>
      <c r="AD457" s="30"/>
      <c r="AE457" s="30"/>
      <c r="AF457" s="30"/>
      <c r="AG457" s="30"/>
      <c r="AH457" s="30"/>
      <c r="AI457" s="30"/>
      <c r="AJ457" s="30"/>
      <c r="AK457" s="30"/>
      <c r="AL457" s="30"/>
      <c r="AM457" s="30"/>
      <c r="AN457" s="30"/>
      <c r="AO457" s="30"/>
      <c r="AP457" s="30"/>
      <c r="AQ457" s="30"/>
    </row>
    <row r="458" spans="1:43">
      <c r="A458" s="25"/>
      <c r="B458" s="225" t="s">
        <v>296</v>
      </c>
      <c r="C458" s="225"/>
      <c r="L458" s="19"/>
      <c r="M458" s="160"/>
      <c r="N458" s="110"/>
      <c r="O458" s="111"/>
      <c r="P458" s="23"/>
      <c r="Q458" s="164"/>
      <c r="T458" s="62"/>
      <c r="U458" s="30"/>
      <c r="V458" s="30"/>
      <c r="W458" s="30"/>
      <c r="X458" s="30"/>
      <c r="Y458" s="30"/>
      <c r="Z458" s="30"/>
      <c r="AA458" s="30"/>
      <c r="AB458" s="30"/>
      <c r="AC458" s="30"/>
      <c r="AD458" s="30"/>
      <c r="AE458" s="30"/>
      <c r="AF458" s="30"/>
      <c r="AG458" s="30"/>
      <c r="AH458" s="30"/>
      <c r="AI458" s="30"/>
      <c r="AJ458" s="30"/>
      <c r="AK458" s="30"/>
      <c r="AL458" s="30"/>
      <c r="AM458" s="30"/>
      <c r="AN458" s="30"/>
      <c r="AO458" s="30"/>
      <c r="AP458" s="30"/>
      <c r="AQ458" s="30"/>
    </row>
    <row r="459" spans="1:43">
      <c r="A459" s="27"/>
      <c r="B459" s="113" t="str">
        <f>B347</f>
        <v xml:space="preserve">Material Properties for </v>
      </c>
      <c r="C459" s="27"/>
      <c r="D459" s="29"/>
      <c r="E459" s="29"/>
      <c r="F459" s="29"/>
      <c r="G459" s="29"/>
      <c r="H459" s="29"/>
      <c r="I459" s="19"/>
      <c r="J459" s="19"/>
      <c r="K459" s="19"/>
      <c r="L459" s="19"/>
      <c r="M459" s="160"/>
      <c r="N459" s="110"/>
      <c r="O459" s="111"/>
      <c r="P459" s="23"/>
      <c r="Q459" s="164"/>
      <c r="T459" s="62"/>
      <c r="U459" s="30"/>
      <c r="V459" s="30"/>
      <c r="W459" s="30"/>
      <c r="X459" s="30"/>
      <c r="Y459" s="30"/>
      <c r="Z459" s="30"/>
      <c r="AA459" s="30"/>
      <c r="AB459" s="30"/>
      <c r="AC459" s="30"/>
      <c r="AD459" s="30"/>
      <c r="AE459" s="30"/>
      <c r="AF459" s="30"/>
      <c r="AG459" s="30"/>
      <c r="AH459" s="30"/>
      <c r="AI459" s="30"/>
      <c r="AJ459" s="30"/>
      <c r="AK459" s="30"/>
      <c r="AL459" s="30"/>
      <c r="AM459" s="30"/>
      <c r="AN459" s="30"/>
      <c r="AO459" s="30"/>
      <c r="AP459" s="30"/>
      <c r="AQ459" s="30"/>
    </row>
    <row r="460" spans="1:43">
      <c r="A460" s="27"/>
      <c r="B460" s="225" t="s">
        <v>301</v>
      </c>
      <c r="C460" s="225"/>
      <c r="D460" s="28" t="s">
        <v>112</v>
      </c>
      <c r="E460" s="27"/>
      <c r="F460" s="27"/>
      <c r="G460" s="27"/>
      <c r="H460" s="27"/>
      <c r="I460" s="19"/>
      <c r="J460" s="19"/>
      <c r="K460" s="19"/>
      <c r="L460" s="19"/>
      <c r="M460" s="91"/>
      <c r="N460" s="110"/>
      <c r="O460" s="111"/>
      <c r="P460" s="23"/>
      <c r="Q460" s="164"/>
      <c r="T460" s="62"/>
      <c r="U460" s="30"/>
      <c r="V460" s="30"/>
      <c r="W460" s="30"/>
      <c r="X460" s="30"/>
      <c r="Y460" s="30"/>
      <c r="Z460" s="30"/>
      <c r="AA460" s="30"/>
      <c r="AB460" s="30"/>
      <c r="AC460" s="30"/>
      <c r="AD460" s="30"/>
      <c r="AE460" s="30"/>
      <c r="AF460" s="30"/>
      <c r="AG460" s="30"/>
      <c r="AH460" s="30"/>
      <c r="AI460" s="30"/>
      <c r="AJ460" s="30"/>
      <c r="AK460" s="30"/>
      <c r="AL460" s="30"/>
      <c r="AM460" s="30"/>
      <c r="AN460" s="30"/>
      <c r="AO460" s="30"/>
      <c r="AP460" s="30"/>
      <c r="AQ460" s="30"/>
    </row>
    <row r="461" spans="1:43">
      <c r="A461" s="38"/>
      <c r="B461" s="27" t="s">
        <v>128</v>
      </c>
      <c r="C461" s="27"/>
      <c r="D461" s="27"/>
      <c r="E461" s="27"/>
      <c r="F461" s="27"/>
      <c r="G461" s="27"/>
      <c r="H461" s="27"/>
      <c r="I461" s="19"/>
      <c r="J461" s="19"/>
      <c r="K461" s="19"/>
      <c r="L461" s="19"/>
      <c r="M461" s="91"/>
      <c r="N461" s="110"/>
      <c r="O461" s="111"/>
      <c r="P461" s="23"/>
      <c r="Q461" s="164"/>
      <c r="T461" s="62"/>
      <c r="U461" s="30"/>
      <c r="V461" s="30"/>
      <c r="W461" s="30"/>
      <c r="X461" s="30"/>
      <c r="Y461" s="30"/>
      <c r="Z461" s="30"/>
      <c r="AA461" s="30"/>
      <c r="AB461" s="30"/>
      <c r="AC461" s="30"/>
      <c r="AD461" s="30"/>
      <c r="AE461" s="30"/>
      <c r="AF461" s="30"/>
      <c r="AG461" s="30"/>
      <c r="AH461" s="30"/>
      <c r="AI461" s="30"/>
      <c r="AJ461" s="30"/>
      <c r="AK461" s="30"/>
      <c r="AL461" s="30"/>
      <c r="AM461" s="30"/>
      <c r="AN461" s="30"/>
      <c r="AO461" s="30"/>
      <c r="AP461" s="30"/>
      <c r="AQ461" s="30"/>
    </row>
    <row r="462" spans="1:43">
      <c r="B462" s="38" t="s">
        <v>113</v>
      </c>
      <c r="C462" s="38" t="s">
        <v>114</v>
      </c>
      <c r="D462" s="38" t="s">
        <v>115</v>
      </c>
      <c r="E462" s="38" t="s">
        <v>67</v>
      </c>
      <c r="F462" s="38" t="s">
        <v>6</v>
      </c>
      <c r="G462" s="38" t="s">
        <v>103</v>
      </c>
      <c r="H462" s="38" t="s">
        <v>67</v>
      </c>
      <c r="I462" s="38" t="s">
        <v>67</v>
      </c>
      <c r="J462" s="19"/>
      <c r="K462" s="19"/>
      <c r="L462" s="19"/>
      <c r="M462" s="91"/>
      <c r="N462" s="110"/>
      <c r="O462" s="111"/>
      <c r="P462" s="23"/>
      <c r="Q462" s="164"/>
      <c r="T462" s="62"/>
      <c r="U462" s="30"/>
      <c r="V462" s="30"/>
      <c r="W462" s="30"/>
      <c r="X462" s="30"/>
      <c r="Y462" s="30"/>
      <c r="Z462" s="30"/>
      <c r="AA462" s="30"/>
      <c r="AB462" s="30"/>
      <c r="AC462" s="30"/>
      <c r="AD462" s="30"/>
      <c r="AE462" s="30"/>
      <c r="AF462" s="30"/>
      <c r="AG462" s="30"/>
      <c r="AH462" s="30"/>
      <c r="AI462" s="30"/>
      <c r="AJ462" s="30"/>
      <c r="AK462" s="30"/>
      <c r="AL462" s="30"/>
      <c r="AM462" s="30"/>
      <c r="AN462" s="30"/>
      <c r="AO462" s="30"/>
      <c r="AP462" s="30"/>
      <c r="AQ462" s="30"/>
    </row>
    <row r="463" spans="1:43">
      <c r="B463" s="38"/>
      <c r="C463" s="38" t="s">
        <v>113</v>
      </c>
      <c r="D463" s="38" t="s">
        <v>117</v>
      </c>
      <c r="E463" s="38" t="s">
        <v>116</v>
      </c>
      <c r="F463" s="38" t="s">
        <v>67</v>
      </c>
      <c r="G463" s="38" t="s">
        <v>101</v>
      </c>
      <c r="H463" s="38" t="s">
        <v>119</v>
      </c>
      <c r="I463" s="38" t="s">
        <v>120</v>
      </c>
      <c r="J463" s="19"/>
      <c r="K463" s="19"/>
      <c r="L463" s="19"/>
      <c r="M463" s="91"/>
      <c r="N463" s="110"/>
      <c r="O463" s="111"/>
      <c r="P463" s="23"/>
      <c r="Q463" s="164"/>
      <c r="T463" s="62"/>
      <c r="U463" s="30"/>
      <c r="V463" s="30"/>
      <c r="W463" s="30"/>
      <c r="X463" s="30"/>
      <c r="Y463" s="30"/>
      <c r="Z463" s="30"/>
      <c r="AA463" s="30"/>
      <c r="AB463" s="30"/>
      <c r="AC463" s="30"/>
      <c r="AD463" s="30"/>
      <c r="AE463" s="30"/>
      <c r="AF463" s="30"/>
      <c r="AG463" s="30"/>
      <c r="AH463" s="30"/>
      <c r="AI463" s="30"/>
      <c r="AJ463" s="30"/>
      <c r="AK463" s="30"/>
      <c r="AL463" s="30"/>
      <c r="AM463" s="30"/>
      <c r="AN463" s="30"/>
      <c r="AO463" s="30"/>
      <c r="AP463" s="30"/>
      <c r="AQ463" s="30"/>
    </row>
    <row r="464" spans="1:43">
      <c r="B464" s="38"/>
      <c r="C464" s="38"/>
      <c r="D464" s="38" t="s">
        <v>121</v>
      </c>
      <c r="E464" s="38" t="s">
        <v>118</v>
      </c>
      <c r="F464" s="38" t="s">
        <v>63</v>
      </c>
      <c r="G464" s="38"/>
      <c r="H464" s="38" t="s">
        <v>122</v>
      </c>
      <c r="I464" s="38" t="s">
        <v>123</v>
      </c>
      <c r="J464" s="19"/>
      <c r="K464" s="19"/>
      <c r="L464" s="19"/>
      <c r="M464" s="91"/>
      <c r="N464" s="110"/>
      <c r="O464" s="111"/>
      <c r="P464" s="23"/>
      <c r="Q464" s="164"/>
      <c r="T464" s="62"/>
      <c r="U464" s="30"/>
      <c r="V464" s="30"/>
      <c r="W464" s="30"/>
      <c r="X464" s="30"/>
      <c r="Y464" s="30"/>
      <c r="Z464" s="30"/>
      <c r="AA464" s="30"/>
      <c r="AB464" s="30"/>
      <c r="AC464" s="30"/>
      <c r="AD464" s="30"/>
      <c r="AE464" s="30"/>
      <c r="AF464" s="30"/>
      <c r="AG464" s="30"/>
      <c r="AH464" s="30"/>
      <c r="AI464" s="30"/>
      <c r="AJ464" s="30"/>
      <c r="AK464" s="30"/>
      <c r="AL464" s="30"/>
      <c r="AM464" s="30"/>
      <c r="AN464" s="30"/>
      <c r="AO464" s="30"/>
      <c r="AP464" s="30"/>
      <c r="AQ464" s="30"/>
    </row>
    <row r="465" spans="2:43">
      <c r="B465" s="27"/>
      <c r="C465" s="27"/>
      <c r="D465" s="27"/>
      <c r="E465" s="27"/>
      <c r="F465" s="27"/>
      <c r="G465" s="27"/>
      <c r="H465" s="38" t="s">
        <v>124</v>
      </c>
      <c r="I465" s="27"/>
      <c r="J465" s="19"/>
      <c r="K465" s="19"/>
      <c r="L465" s="19"/>
      <c r="M465" s="91"/>
      <c r="N465" s="110"/>
      <c r="O465" s="111"/>
      <c r="P465" s="23"/>
      <c r="Q465" s="164"/>
      <c r="T465" s="62"/>
      <c r="U465" s="30"/>
      <c r="V465" s="30"/>
      <c r="W465" s="30"/>
      <c r="X465" s="30"/>
      <c r="Y465" s="30"/>
      <c r="Z465" s="30"/>
      <c r="AA465" s="30"/>
      <c r="AB465" s="30"/>
      <c r="AC465" s="30"/>
      <c r="AD465" s="30"/>
      <c r="AE465" s="30"/>
      <c r="AF465" s="30"/>
      <c r="AG465" s="30"/>
      <c r="AH465" s="30"/>
      <c r="AI465" s="30"/>
      <c r="AJ465" s="30"/>
      <c r="AK465" s="30"/>
      <c r="AL465" s="30"/>
      <c r="AM465" s="30"/>
      <c r="AN465" s="30"/>
      <c r="AO465" s="30"/>
      <c r="AP465" s="30"/>
      <c r="AQ465" s="30"/>
    </row>
    <row r="466" spans="2:43">
      <c r="B466" s="38"/>
      <c r="C466" s="38"/>
      <c r="D466" s="38"/>
      <c r="E466" s="38"/>
      <c r="F466" s="38" t="s">
        <v>102</v>
      </c>
      <c r="G466" s="38" t="s">
        <v>102</v>
      </c>
      <c r="H466" s="38" t="s">
        <v>102</v>
      </c>
      <c r="I466" s="38" t="s">
        <v>102</v>
      </c>
      <c r="J466" s="19"/>
      <c r="K466" s="19"/>
      <c r="L466" s="19"/>
      <c r="M466" s="91"/>
      <c r="N466" s="110"/>
      <c r="O466" s="111"/>
      <c r="P466" s="23"/>
      <c r="Q466" s="164"/>
      <c r="T466" s="62"/>
      <c r="U466" s="30"/>
      <c r="V466" s="30">
        <f>(B476-B467)/9</f>
        <v>4.0499970925981579</v>
      </c>
      <c r="W466" s="30"/>
      <c r="X466" s="30"/>
      <c r="Y466" s="30"/>
      <c r="Z466" s="30"/>
      <c r="AA466" s="30"/>
      <c r="AB466" s="30"/>
      <c r="AC466" s="30"/>
      <c r="AD466" s="30"/>
      <c r="AE466" s="30"/>
      <c r="AF466" s="30"/>
      <c r="AG466" s="30"/>
      <c r="AH466" s="30"/>
      <c r="AI466" s="30"/>
      <c r="AJ466" s="30"/>
      <c r="AK466" s="30"/>
      <c r="AL466" s="30"/>
      <c r="AM466" s="30"/>
      <c r="AN466" s="30"/>
      <c r="AO466" s="30"/>
      <c r="AP466" s="30"/>
      <c r="AQ466" s="30"/>
    </row>
    <row r="467" spans="2:43">
      <c r="B467" s="38">
        <v>0</v>
      </c>
      <c r="C467" s="117">
        <v>0</v>
      </c>
      <c r="D467" s="122">
        <f t="shared" ref="D467:D505" si="31">C467/12^0.5</f>
        <v>0</v>
      </c>
      <c r="E467" s="118">
        <v>0</v>
      </c>
      <c r="F467" s="116">
        <f>MIN(D18:D20)</f>
        <v>78000</v>
      </c>
      <c r="G467" s="116">
        <f>F467/((F467/MIN($D$35:$D$36))+0.002*MIN($H$34:$H$35)*(F467/MIN($D$24:$D$26))^MIN($H$34:$H$35))</f>
        <v>696811.44374794944</v>
      </c>
      <c r="H467" s="116">
        <f>MIN($D$24:$D$26)-(MIN($D$24:$D$26)^2/(4*PI()^2*MIN($D$35:$D$36)))*B467^2</f>
        <v>69000</v>
      </c>
      <c r="I467" s="116"/>
      <c r="J467" s="19"/>
      <c r="K467" s="19"/>
      <c r="L467" s="19"/>
      <c r="M467" s="91"/>
      <c r="N467" s="110"/>
      <c r="O467" s="111"/>
      <c r="P467" s="23"/>
      <c r="Q467" s="164"/>
      <c r="T467" s="62"/>
      <c r="U467" s="30"/>
      <c r="V467" s="30">
        <f>MIN(D24:D26)/2</f>
        <v>34500</v>
      </c>
      <c r="W467" s="30"/>
      <c r="X467" s="30"/>
      <c r="Y467" s="30"/>
      <c r="Z467" s="30"/>
      <c r="AA467" s="30"/>
      <c r="AB467" s="30"/>
      <c r="AC467" s="30"/>
      <c r="AD467" s="30"/>
      <c r="AE467" s="30"/>
      <c r="AF467" s="30"/>
      <c r="AG467" s="30"/>
      <c r="AH467" s="30"/>
      <c r="AI467" s="30"/>
      <c r="AJ467" s="30"/>
      <c r="AK467" s="30"/>
      <c r="AL467" s="30"/>
      <c r="AM467" s="30"/>
      <c r="AN467" s="30"/>
      <c r="AO467" s="30"/>
      <c r="AP467" s="30"/>
      <c r="AQ467" s="30"/>
    </row>
    <row r="468" spans="2:43">
      <c r="B468" s="116">
        <f>B467+$V$466</f>
        <v>4.0499970925981579</v>
      </c>
      <c r="C468" s="117">
        <f t="shared" ref="C468:C505" si="32">(PI()^2/E468)^0.5</f>
        <v>1.0433203998682714</v>
      </c>
      <c r="D468" s="122">
        <f t="shared" si="31"/>
        <v>0.30118065685748724</v>
      </c>
      <c r="E468" s="118">
        <f>(PI()^2*MIN($D$35:$D$36)/B468^2)/G468</f>
        <v>9.0670152688900867</v>
      </c>
      <c r="F468" s="116">
        <f>IF((PI()^2*MIN($D$33:$D$34)/B468^2)&gt;MIN($D$18:$D$20),MIN($D$18:$D$20),(PI()^2*MIN($D$33:$D$34)/B468^2))</f>
        <v>78000</v>
      </c>
      <c r="G468" s="116">
        <f t="shared" ref="G468:G505" si="33">F468/((F468/MIN($D$35:$D$36))+0.002*MIN($H$34:$H$35)*(F468/MIN($D$24:$D$26))^MIN($H$34:$H$35))</f>
        <v>696811.44374794944</v>
      </c>
      <c r="H468" s="116">
        <f t="shared" ref="H468:H505" si="34">MIN($D$24:$D$26)-(MIN($D$24:$D$26)^2/(4*PI()^2*MIN($D$35:$D$36)))*B468^2</f>
        <v>68811.609686609692</v>
      </c>
      <c r="I468" s="116">
        <f>PI()^2*MIN($D$35:$D$36)/B468^2</f>
        <v>6318000.0000000028</v>
      </c>
      <c r="J468" s="19"/>
      <c r="K468" s="19"/>
      <c r="L468" s="19"/>
      <c r="M468" s="91"/>
      <c r="N468" s="110"/>
      <c r="O468" s="111"/>
      <c r="P468" s="23"/>
      <c r="Q468" s="164"/>
      <c r="T468" s="62"/>
      <c r="U468" s="30"/>
      <c r="V468" s="30">
        <f>MIN(D18:D20)</f>
        <v>78000</v>
      </c>
      <c r="W468" s="30"/>
      <c r="X468" s="30"/>
      <c r="Y468" s="30"/>
      <c r="Z468" s="30"/>
      <c r="AA468" s="30"/>
      <c r="AB468" s="30"/>
      <c r="AC468" s="30"/>
      <c r="AD468" s="30"/>
      <c r="AE468" s="30"/>
      <c r="AF468" s="30"/>
      <c r="AG468" s="30"/>
      <c r="AH468" s="30"/>
      <c r="AI468" s="30"/>
      <c r="AJ468" s="30"/>
      <c r="AK468" s="30"/>
      <c r="AL468" s="30"/>
      <c r="AM468" s="30"/>
      <c r="AN468" s="30"/>
      <c r="AO468" s="30"/>
      <c r="AP468" s="30"/>
      <c r="AQ468" s="30"/>
    </row>
    <row r="469" spans="2:43">
      <c r="B469" s="116">
        <f t="shared" ref="B469:B475" si="35">B468+$V$466</f>
        <v>8.0999941851963158</v>
      </c>
      <c r="C469" s="117">
        <f t="shared" si="32"/>
        <v>2.0866407997365428</v>
      </c>
      <c r="D469" s="122">
        <f t="shared" si="31"/>
        <v>0.60236131371497448</v>
      </c>
      <c r="E469" s="118">
        <f t="shared" ref="E469:E505" si="36">(PI()^2*MIN($D$35:$D$36)/B469^2)/G469</f>
        <v>2.2667538172225217</v>
      </c>
      <c r="F469" s="116">
        <f t="shared" ref="F469:F505" si="37">IF((PI()^2*MIN($D$33:$D$34)/B469^2)&gt;MIN($D$18:$D$20),MIN($D$18:$D$20),(PI()^2*MIN($D$33:$D$34)/B469^2))</f>
        <v>78000</v>
      </c>
      <c r="G469" s="116">
        <f t="shared" si="33"/>
        <v>696811.44374794944</v>
      </c>
      <c r="H469" s="116">
        <f t="shared" si="34"/>
        <v>68246.43874643874</v>
      </c>
      <c r="I469" s="116">
        <f t="shared" ref="I469:I505" si="38">PI()^2*MIN($D$35:$D$36)/B469^2</f>
        <v>1579500.0000000007</v>
      </c>
      <c r="J469" s="19"/>
      <c r="K469" s="19"/>
      <c r="L469" s="19"/>
      <c r="M469" s="91"/>
      <c r="N469" s="110"/>
      <c r="O469" s="111"/>
      <c r="P469" s="23"/>
      <c r="Q469" s="164"/>
      <c r="T469" s="62"/>
      <c r="U469" s="30"/>
      <c r="V469" s="30">
        <f>(B500-B476)/24</f>
        <v>0.76487053851833109</v>
      </c>
      <c r="W469" s="30"/>
      <c r="X469" s="30"/>
      <c r="Y469" s="30"/>
      <c r="Z469" s="30"/>
      <c r="AA469" s="30"/>
      <c r="AB469" s="30"/>
      <c r="AC469" s="30"/>
      <c r="AD469" s="30"/>
      <c r="AE469" s="30"/>
      <c r="AF469" s="30"/>
      <c r="AG469" s="30"/>
      <c r="AH469" s="30"/>
      <c r="AI469" s="30"/>
      <c r="AJ469" s="30"/>
      <c r="AK469" s="30"/>
      <c r="AL469" s="30"/>
      <c r="AM469" s="30"/>
      <c r="AN469" s="30"/>
      <c r="AO469" s="30"/>
      <c r="AP469" s="30"/>
      <c r="AQ469" s="30"/>
    </row>
    <row r="470" spans="2:43">
      <c r="B470" s="116">
        <f t="shared" si="35"/>
        <v>12.149991277794474</v>
      </c>
      <c r="C470" s="117">
        <f t="shared" si="32"/>
        <v>3.1299611996048142</v>
      </c>
      <c r="D470" s="122">
        <f t="shared" si="31"/>
        <v>0.90354197057246177</v>
      </c>
      <c r="E470" s="118">
        <f t="shared" si="36"/>
        <v>1.0074461409877873</v>
      </c>
      <c r="F470" s="116">
        <f t="shared" si="37"/>
        <v>78000</v>
      </c>
      <c r="G470" s="116">
        <f t="shared" si="33"/>
        <v>696811.44374794944</v>
      </c>
      <c r="H470" s="116">
        <f t="shared" si="34"/>
        <v>67304.487179487187</v>
      </c>
      <c r="I470" s="116">
        <f t="shared" si="38"/>
        <v>702000.00000000023</v>
      </c>
      <c r="J470" s="19"/>
      <c r="K470" s="19"/>
      <c r="L470" s="19"/>
      <c r="M470" s="91"/>
      <c r="N470" s="110"/>
      <c r="O470" s="111"/>
      <c r="P470" s="23"/>
      <c r="Q470" s="164"/>
      <c r="T470" s="62"/>
      <c r="U470" s="30"/>
      <c r="V470" s="30"/>
      <c r="W470" s="30"/>
      <c r="X470" s="133"/>
      <c r="Y470" s="30"/>
      <c r="Z470" s="30"/>
      <c r="AA470" s="30"/>
      <c r="AB470" s="30"/>
      <c r="AC470" s="30"/>
      <c r="AD470" s="30"/>
      <c r="AE470" s="30"/>
      <c r="AF470" s="30"/>
      <c r="AG470" s="30"/>
      <c r="AH470" s="30"/>
      <c r="AI470" s="30"/>
      <c r="AJ470" s="30"/>
      <c r="AK470" s="30"/>
      <c r="AL470" s="30"/>
      <c r="AM470" s="30"/>
      <c r="AN470" s="30"/>
      <c r="AO470" s="30"/>
      <c r="AP470" s="30"/>
      <c r="AQ470" s="30"/>
    </row>
    <row r="471" spans="2:43">
      <c r="B471" s="116">
        <f t="shared" si="35"/>
        <v>16.199988370392632</v>
      </c>
      <c r="C471" s="117">
        <f t="shared" si="32"/>
        <v>4.1732815994730856</v>
      </c>
      <c r="D471" s="122">
        <f t="shared" si="31"/>
        <v>1.204722627429949</v>
      </c>
      <c r="E471" s="118">
        <f t="shared" si="36"/>
        <v>0.56668845430563042</v>
      </c>
      <c r="F471" s="116">
        <f t="shared" si="37"/>
        <v>78000</v>
      </c>
      <c r="G471" s="116">
        <f t="shared" si="33"/>
        <v>696811.44374794944</v>
      </c>
      <c r="H471" s="116">
        <f t="shared" si="34"/>
        <v>65985.754985754989</v>
      </c>
      <c r="I471" s="116">
        <f t="shared" si="38"/>
        <v>394875.00000000017</v>
      </c>
      <c r="J471" s="19"/>
      <c r="K471" s="19"/>
      <c r="L471" s="19"/>
      <c r="M471" s="91"/>
      <c r="N471" s="110"/>
      <c r="O471" s="111"/>
      <c r="P471" s="23"/>
      <c r="Q471" s="164"/>
      <c r="T471" s="62"/>
      <c r="U471" s="30"/>
      <c r="V471" s="30"/>
      <c r="W471" s="30"/>
      <c r="X471" s="30"/>
      <c r="Y471" s="30"/>
      <c r="Z471" s="30"/>
      <c r="AA471" s="30"/>
      <c r="AB471" s="30"/>
      <c r="AC471" s="30"/>
      <c r="AD471" s="30"/>
      <c r="AE471" s="30"/>
      <c r="AF471" s="30"/>
      <c r="AG471" s="30"/>
      <c r="AH471" s="30"/>
      <c r="AI471" s="30"/>
      <c r="AJ471" s="30"/>
      <c r="AK471" s="30"/>
      <c r="AL471" s="30"/>
      <c r="AM471" s="30"/>
      <c r="AN471" s="30"/>
      <c r="AO471" s="30"/>
      <c r="AP471" s="30"/>
      <c r="AQ471" s="30"/>
    </row>
    <row r="472" spans="2:43">
      <c r="B472" s="116">
        <f t="shared" si="35"/>
        <v>20.249985462990789</v>
      </c>
      <c r="C472" s="117">
        <f t="shared" si="32"/>
        <v>5.216601999341357</v>
      </c>
      <c r="D472" s="122">
        <f t="shared" si="31"/>
        <v>1.5059032842874363</v>
      </c>
      <c r="E472" s="118">
        <f t="shared" si="36"/>
        <v>0.36268061075560343</v>
      </c>
      <c r="F472" s="116">
        <f t="shared" si="37"/>
        <v>78000</v>
      </c>
      <c r="G472" s="116">
        <f t="shared" si="33"/>
        <v>696811.44374794944</v>
      </c>
      <c r="H472" s="116">
        <f t="shared" si="34"/>
        <v>64290.242165242169</v>
      </c>
      <c r="I472" s="116">
        <f t="shared" si="38"/>
        <v>252720.00000000009</v>
      </c>
      <c r="J472" s="19"/>
      <c r="K472" s="19"/>
      <c r="L472" s="19"/>
      <c r="M472" s="91"/>
      <c r="N472" s="110"/>
      <c r="O472" s="111"/>
      <c r="P472" s="23"/>
      <c r="Q472" s="164"/>
      <c r="T472" s="62"/>
      <c r="U472" s="30"/>
      <c r="V472" s="30"/>
      <c r="W472" s="30"/>
      <c r="X472" s="30"/>
      <c r="Y472" s="30"/>
      <c r="Z472" s="30"/>
      <c r="AA472" s="30"/>
      <c r="AB472" s="30"/>
      <c r="AC472" s="30"/>
      <c r="AD472" s="30"/>
      <c r="AE472" s="30"/>
      <c r="AF472" s="30"/>
      <c r="AG472" s="30"/>
      <c r="AH472" s="30"/>
      <c r="AI472" s="30"/>
      <c r="AJ472" s="30"/>
      <c r="AK472" s="30"/>
      <c r="AL472" s="30"/>
      <c r="AM472" s="30"/>
      <c r="AN472" s="30"/>
      <c r="AO472" s="30"/>
      <c r="AP472" s="30"/>
      <c r="AQ472" s="30"/>
    </row>
    <row r="473" spans="2:43">
      <c r="B473" s="116">
        <f t="shared" si="35"/>
        <v>24.299982555588947</v>
      </c>
      <c r="C473" s="117">
        <f t="shared" si="32"/>
        <v>6.2599223992096285</v>
      </c>
      <c r="D473" s="122">
        <f t="shared" si="31"/>
        <v>1.8070839411449235</v>
      </c>
      <c r="E473" s="118">
        <f t="shared" si="36"/>
        <v>0.25186153524694682</v>
      </c>
      <c r="F473" s="116">
        <f t="shared" si="37"/>
        <v>78000</v>
      </c>
      <c r="G473" s="116">
        <f t="shared" si="33"/>
        <v>696811.44374794944</v>
      </c>
      <c r="H473" s="116">
        <f t="shared" si="34"/>
        <v>62217.948717948719</v>
      </c>
      <c r="I473" s="116">
        <f t="shared" si="38"/>
        <v>175500.00000000006</v>
      </c>
      <c r="J473" s="19"/>
      <c r="K473" s="19"/>
      <c r="L473" s="19"/>
      <c r="M473" s="91"/>
      <c r="N473" s="110"/>
      <c r="O473" s="111"/>
      <c r="P473" s="23"/>
      <c r="Q473" s="164"/>
      <c r="T473" s="62"/>
      <c r="U473" s="30"/>
      <c r="V473" s="30"/>
      <c r="W473" s="30"/>
      <c r="X473" s="30"/>
      <c r="Y473" s="30"/>
      <c r="Z473" s="30"/>
      <c r="AA473" s="30"/>
      <c r="AB473" s="30"/>
      <c r="AC473" s="30"/>
      <c r="AD473" s="30"/>
      <c r="AE473" s="30"/>
      <c r="AF473" s="30"/>
      <c r="AG473" s="30"/>
      <c r="AH473" s="30"/>
      <c r="AI473" s="30"/>
      <c r="AJ473" s="30"/>
      <c r="AK473" s="30"/>
      <c r="AL473" s="30"/>
      <c r="AM473" s="30"/>
      <c r="AN473" s="30"/>
      <c r="AO473" s="30"/>
      <c r="AP473" s="30"/>
      <c r="AQ473" s="30"/>
    </row>
    <row r="474" spans="2:43">
      <c r="B474" s="116">
        <f t="shared" si="35"/>
        <v>28.349979648187105</v>
      </c>
      <c r="C474" s="117">
        <f t="shared" si="32"/>
        <v>7.3032427990778999</v>
      </c>
      <c r="D474" s="122">
        <f t="shared" si="31"/>
        <v>2.1082645980024108</v>
      </c>
      <c r="E474" s="118">
        <f t="shared" si="36"/>
        <v>0.18504112793653235</v>
      </c>
      <c r="F474" s="116">
        <f t="shared" si="37"/>
        <v>78000</v>
      </c>
      <c r="G474" s="116">
        <f t="shared" si="33"/>
        <v>696811.44374794944</v>
      </c>
      <c r="H474" s="116">
        <f t="shared" si="34"/>
        <v>59768.874643874646</v>
      </c>
      <c r="I474" s="116">
        <f t="shared" si="38"/>
        <v>128938.77551020413</v>
      </c>
      <c r="J474" s="19"/>
      <c r="K474" s="19"/>
      <c r="L474" s="19"/>
      <c r="M474" s="91"/>
      <c r="N474" s="110"/>
      <c r="O474" s="111"/>
      <c r="P474" s="23"/>
      <c r="Q474" s="164"/>
      <c r="T474" s="62"/>
      <c r="U474" s="30"/>
      <c r="V474" s="30"/>
      <c r="W474" s="30"/>
      <c r="X474" s="30"/>
      <c r="Y474" s="30"/>
      <c r="Z474" s="30"/>
      <c r="AA474" s="30"/>
      <c r="AB474" s="30"/>
      <c r="AC474" s="30"/>
      <c r="AD474" s="30"/>
      <c r="AE474" s="30"/>
      <c r="AF474" s="30"/>
      <c r="AG474" s="30"/>
      <c r="AH474" s="30"/>
      <c r="AI474" s="30"/>
      <c r="AJ474" s="30"/>
      <c r="AK474" s="30"/>
      <c r="AL474" s="30"/>
      <c r="AM474" s="30"/>
      <c r="AN474" s="30"/>
      <c r="AO474" s="30"/>
      <c r="AP474" s="30"/>
      <c r="AQ474" s="30"/>
    </row>
    <row r="475" spans="2:43">
      <c r="B475" s="116">
        <f t="shared" si="35"/>
        <v>32.399976740785263</v>
      </c>
      <c r="C475" s="117">
        <f t="shared" si="32"/>
        <v>8.3465631989461713</v>
      </c>
      <c r="D475" s="122">
        <f t="shared" si="31"/>
        <v>2.4094452548598979</v>
      </c>
      <c r="E475" s="118">
        <f t="shared" si="36"/>
        <v>0.1416721135764076</v>
      </c>
      <c r="F475" s="116">
        <f t="shared" si="37"/>
        <v>78000</v>
      </c>
      <c r="G475" s="116">
        <f t="shared" si="33"/>
        <v>696811.44374794944</v>
      </c>
      <c r="H475" s="116">
        <f t="shared" si="34"/>
        <v>56943.01994301995</v>
      </c>
      <c r="I475" s="116">
        <f t="shared" si="38"/>
        <v>98718.750000000044</v>
      </c>
      <c r="J475" s="19"/>
      <c r="K475" s="19"/>
      <c r="L475" s="19"/>
      <c r="M475" s="91"/>
      <c r="N475" s="110"/>
      <c r="O475" s="111"/>
      <c r="P475" s="23"/>
      <c r="Q475" s="164"/>
      <c r="T475" s="62"/>
      <c r="U475" s="30"/>
      <c r="V475" s="30"/>
      <c r="W475" s="30"/>
      <c r="X475" s="30"/>
      <c r="Y475" s="30"/>
      <c r="Z475" s="30"/>
      <c r="AA475" s="30"/>
      <c r="AB475" s="30"/>
      <c r="AC475" s="30"/>
      <c r="AD475" s="30"/>
      <c r="AE475" s="30"/>
      <c r="AF475" s="30"/>
      <c r="AG475" s="30"/>
      <c r="AH475" s="30"/>
      <c r="AI475" s="30"/>
      <c r="AJ475" s="30"/>
      <c r="AK475" s="30"/>
      <c r="AL475" s="30"/>
      <c r="AM475" s="30"/>
      <c r="AN475" s="30"/>
      <c r="AO475" s="30"/>
      <c r="AP475" s="30"/>
      <c r="AQ475" s="30"/>
    </row>
    <row r="476" spans="2:43">
      <c r="B476" s="116">
        <f>(PI()^2*MIN(D35:D36)/V468)^0.5</f>
        <v>36.449973833383424</v>
      </c>
      <c r="C476" s="117">
        <f t="shared" si="32"/>
        <v>10.35685670184948</v>
      </c>
      <c r="D476" s="122">
        <f t="shared" si="31"/>
        <v>2.9897670023855887</v>
      </c>
      <c r="E476" s="118">
        <f t="shared" si="36"/>
        <v>9.2011860149392E-2</v>
      </c>
      <c r="F476" s="116">
        <f t="shared" si="37"/>
        <v>76514.285714285739</v>
      </c>
      <c r="G476" s="116">
        <f t="shared" si="33"/>
        <v>847716.80382678832</v>
      </c>
      <c r="H476" s="116">
        <f t="shared" si="34"/>
        <v>53740.384615384617</v>
      </c>
      <c r="I476" s="116">
        <f t="shared" si="38"/>
        <v>78000.000000000015</v>
      </c>
      <c r="J476" s="19"/>
      <c r="K476" s="19"/>
      <c r="L476" s="19"/>
      <c r="M476" s="91"/>
      <c r="N476" s="110"/>
      <c r="O476" s="111"/>
      <c r="P476" s="23"/>
      <c r="Q476" s="164"/>
      <c r="T476" s="62"/>
      <c r="U476" s="30"/>
      <c r="V476" s="30"/>
      <c r="W476" s="30"/>
      <c r="X476" s="30"/>
      <c r="Y476" s="30"/>
      <c r="Z476" s="30"/>
      <c r="AA476" s="30"/>
      <c r="AB476" s="30"/>
      <c r="AC476" s="30"/>
      <c r="AD476" s="30"/>
      <c r="AE476" s="30"/>
      <c r="AF476" s="30"/>
      <c r="AG476" s="30"/>
      <c r="AH476" s="30"/>
      <c r="AI476" s="30"/>
      <c r="AJ476" s="30"/>
      <c r="AK476" s="30"/>
      <c r="AL476" s="30"/>
      <c r="AM476" s="30"/>
      <c r="AN476" s="30"/>
      <c r="AO476" s="30"/>
      <c r="AP476" s="30"/>
      <c r="AQ476" s="30"/>
    </row>
    <row r="477" spans="2:43">
      <c r="B477" s="116">
        <f>B476+$V$469</f>
        <v>37.214844371901755</v>
      </c>
      <c r="C477" s="117">
        <f t="shared" si="32"/>
        <v>12.987724868738177</v>
      </c>
      <c r="D477" s="122">
        <f t="shared" si="31"/>
        <v>3.7492332245633917</v>
      </c>
      <c r="E477" s="118">
        <f t="shared" si="36"/>
        <v>5.8510469827986779E-2</v>
      </c>
      <c r="F477" s="116">
        <f t="shared" si="37"/>
        <v>73401.435895627394</v>
      </c>
      <c r="G477" s="116">
        <f t="shared" si="33"/>
        <v>1278860.1205138727</v>
      </c>
      <c r="H477" s="116">
        <f t="shared" si="34"/>
        <v>53093.246171794235</v>
      </c>
      <c r="I477" s="116">
        <f t="shared" si="38"/>
        <v>74826.706495542487</v>
      </c>
      <c r="J477" s="19"/>
      <c r="K477" s="19"/>
      <c r="L477" s="19"/>
      <c r="M477" s="91"/>
      <c r="N477" s="110"/>
      <c r="O477" s="111"/>
      <c r="P477" s="23"/>
      <c r="Q477" s="164"/>
      <c r="T477" s="62"/>
      <c r="U477" s="30"/>
      <c r="V477" s="30"/>
      <c r="W477" s="30"/>
      <c r="X477" s="30"/>
      <c r="Y477" s="30"/>
      <c r="Z477" s="30"/>
      <c r="AA477" s="30"/>
      <c r="AB477" s="30"/>
      <c r="AC477" s="30"/>
      <c r="AD477" s="30"/>
      <c r="AE477" s="30"/>
      <c r="AF477" s="30"/>
      <c r="AG477" s="30"/>
      <c r="AH477" s="30"/>
      <c r="AI477" s="30"/>
      <c r="AJ477" s="30"/>
      <c r="AK477" s="30"/>
      <c r="AL477" s="30"/>
      <c r="AM477" s="30"/>
      <c r="AN477" s="30"/>
      <c r="AO477" s="30"/>
      <c r="AP477" s="30"/>
      <c r="AQ477" s="30"/>
    </row>
    <row r="478" spans="2:43">
      <c r="B478" s="116">
        <f t="shared" ref="B478:B499" si="39">B477+$V$469</f>
        <v>37.979714910420086</v>
      </c>
      <c r="C478" s="117">
        <f t="shared" si="32"/>
        <v>16.0368719154961</v>
      </c>
      <c r="D478" s="122">
        <f t="shared" si="31"/>
        <v>4.6294461586856119</v>
      </c>
      <c r="E478" s="118">
        <f t="shared" si="36"/>
        <v>3.8376063516768928E-2</v>
      </c>
      <c r="F478" s="116">
        <f t="shared" si="37"/>
        <v>70474.754100505554</v>
      </c>
      <c r="G478" s="116">
        <f t="shared" si="33"/>
        <v>1872083.5162342011</v>
      </c>
      <c r="H478" s="116">
        <f t="shared" si="34"/>
        <v>52432.6690978806</v>
      </c>
      <c r="I478" s="116">
        <f t="shared" si="38"/>
        <v>71843.195927699824</v>
      </c>
      <c r="J478" s="19"/>
      <c r="K478" s="19"/>
      <c r="L478" s="19"/>
      <c r="M478" s="91"/>
      <c r="N478" s="110"/>
      <c r="O478" s="111"/>
      <c r="P478" s="23"/>
      <c r="Q478" s="164"/>
      <c r="T478" s="62"/>
      <c r="U478" s="30"/>
      <c r="V478" s="30"/>
      <c r="W478" s="30"/>
      <c r="X478" s="30"/>
      <c r="Y478" s="30"/>
      <c r="Z478" s="30"/>
      <c r="AA478" s="30"/>
      <c r="AB478" s="30"/>
      <c r="AC478" s="30"/>
      <c r="AD478" s="30"/>
      <c r="AE478" s="30"/>
      <c r="AF478" s="30"/>
      <c r="AG478" s="30"/>
      <c r="AH478" s="30"/>
      <c r="AI478" s="30"/>
      <c r="AJ478" s="30"/>
      <c r="AK478" s="30"/>
      <c r="AL478" s="30"/>
      <c r="AM478" s="30"/>
      <c r="AN478" s="30"/>
      <c r="AO478" s="30"/>
      <c r="AP478" s="30"/>
      <c r="AQ478" s="30"/>
    </row>
    <row r="479" spans="2:43">
      <c r="B479" s="116">
        <f t="shared" si="39"/>
        <v>38.744585448938416</v>
      </c>
      <c r="C479" s="117">
        <f t="shared" si="32"/>
        <v>19.440003128492172</v>
      </c>
      <c r="D479" s="122">
        <f t="shared" si="31"/>
        <v>5.6118455196410615</v>
      </c>
      <c r="E479" s="118">
        <f t="shared" si="36"/>
        <v>2.6116025526591473E-2</v>
      </c>
      <c r="F479" s="116">
        <f t="shared" si="37"/>
        <v>67719.685595678849</v>
      </c>
      <c r="G479" s="116">
        <f t="shared" si="33"/>
        <v>2643381.967779126</v>
      </c>
      <c r="H479" s="116">
        <f t="shared" si="34"/>
        <v>51758.653393643726</v>
      </c>
      <c r="I479" s="116">
        <f t="shared" si="38"/>
        <v>69034.63094705125</v>
      </c>
      <c r="J479" s="19"/>
      <c r="K479" s="19"/>
      <c r="L479" s="19"/>
      <c r="M479" s="91"/>
      <c r="N479" s="110"/>
      <c r="O479" s="111"/>
      <c r="P479" s="23"/>
      <c r="Q479" s="164"/>
      <c r="T479" s="62"/>
      <c r="U479" s="30"/>
      <c r="V479" s="30"/>
      <c r="W479" s="30"/>
      <c r="X479" s="30"/>
      <c r="Y479" s="30"/>
      <c r="Z479" s="30"/>
      <c r="AA479" s="30"/>
      <c r="AB479" s="30"/>
      <c r="AC479" s="30"/>
      <c r="AD479" s="30"/>
      <c r="AE479" s="30"/>
      <c r="AF479" s="30"/>
      <c r="AG479" s="30"/>
      <c r="AH479" s="30"/>
      <c r="AI479" s="30"/>
      <c r="AJ479" s="30"/>
      <c r="AK479" s="30"/>
      <c r="AL479" s="30"/>
      <c r="AM479" s="30"/>
      <c r="AN479" s="30"/>
      <c r="AO479" s="30"/>
      <c r="AP479" s="30"/>
      <c r="AQ479" s="30"/>
    </row>
    <row r="480" spans="2:43">
      <c r="B480" s="116">
        <f t="shared" si="39"/>
        <v>39.509455987456747</v>
      </c>
      <c r="C480" s="117">
        <f t="shared" si="32"/>
        <v>23.068757350308154</v>
      </c>
      <c r="D480" s="122">
        <f t="shared" si="31"/>
        <v>6.6593766330352855</v>
      </c>
      <c r="E480" s="118">
        <f t="shared" si="36"/>
        <v>1.854604646628712E-2</v>
      </c>
      <c r="F480" s="116">
        <f t="shared" si="37"/>
        <v>65123.070710432738</v>
      </c>
      <c r="G480" s="116">
        <f t="shared" si="33"/>
        <v>3579609.0814273776</v>
      </c>
      <c r="H480" s="116">
        <f t="shared" si="34"/>
        <v>51071.199059083607</v>
      </c>
      <c r="I480" s="116">
        <f t="shared" si="38"/>
        <v>66387.596355295507</v>
      </c>
      <c r="J480" s="19"/>
      <c r="K480" s="19"/>
      <c r="L480" s="19"/>
      <c r="M480" s="91"/>
      <c r="N480" s="110"/>
      <c r="O480" s="111"/>
      <c r="P480" s="23"/>
      <c r="Q480" s="164"/>
      <c r="T480" s="62"/>
      <c r="U480" s="30"/>
      <c r="V480" s="30"/>
      <c r="W480" s="30"/>
      <c r="X480" s="30"/>
      <c r="Y480" s="30"/>
      <c r="Z480" s="30"/>
      <c r="AA480" s="30"/>
      <c r="AB480" s="30"/>
      <c r="AC480" s="30"/>
      <c r="AD480" s="30"/>
      <c r="AE480" s="30"/>
      <c r="AF480" s="30"/>
      <c r="AG480" s="30"/>
      <c r="AH480" s="30"/>
      <c r="AI480" s="30"/>
      <c r="AJ480" s="30"/>
      <c r="AK480" s="30"/>
      <c r="AL480" s="30"/>
      <c r="AM480" s="30"/>
      <c r="AN480" s="30"/>
      <c r="AO480" s="30"/>
      <c r="AP480" s="30"/>
      <c r="AQ480" s="30"/>
    </row>
    <row r="481" spans="2:43">
      <c r="B481" s="116">
        <f t="shared" si="39"/>
        <v>40.274326525975077</v>
      </c>
      <c r="C481" s="117">
        <f t="shared" si="32"/>
        <v>26.743196424403926</v>
      </c>
      <c r="D481" s="122">
        <f t="shared" si="31"/>
        <v>7.7200958273103222</v>
      </c>
      <c r="E481" s="118">
        <f t="shared" si="36"/>
        <v>1.3799810321441005E-2</v>
      </c>
      <c r="F481" s="116">
        <f t="shared" si="37"/>
        <v>62672.987400242964</v>
      </c>
      <c r="G481" s="116">
        <f t="shared" si="33"/>
        <v>4629769.3318748921</v>
      </c>
      <c r="H481" s="116">
        <f t="shared" si="34"/>
        <v>50370.306094200241</v>
      </c>
      <c r="I481" s="116">
        <f t="shared" si="38"/>
        <v>63889.938611898164</v>
      </c>
      <c r="J481" s="19"/>
      <c r="K481" s="19"/>
      <c r="L481" s="19"/>
      <c r="M481" s="91"/>
      <c r="N481" s="110"/>
      <c r="O481" s="111"/>
      <c r="P481" s="23"/>
      <c r="Q481" s="164"/>
      <c r="T481" s="62"/>
      <c r="U481" s="30"/>
      <c r="V481" s="30"/>
      <c r="W481" s="30"/>
      <c r="X481" s="30"/>
      <c r="Y481" s="30"/>
      <c r="Z481" s="30"/>
      <c r="AA481" s="30"/>
      <c r="AB481" s="30"/>
      <c r="AC481" s="30"/>
      <c r="AD481" s="30"/>
      <c r="AE481" s="30"/>
      <c r="AF481" s="30"/>
      <c r="AG481" s="30"/>
      <c r="AH481" s="30"/>
      <c r="AI481" s="30"/>
      <c r="AJ481" s="30"/>
      <c r="AK481" s="30"/>
      <c r="AL481" s="30"/>
      <c r="AM481" s="30"/>
      <c r="AN481" s="30"/>
      <c r="AO481" s="30"/>
      <c r="AP481" s="30"/>
      <c r="AQ481" s="30"/>
    </row>
    <row r="482" spans="2:43">
      <c r="B482" s="116">
        <f t="shared" si="39"/>
        <v>41.039197064493408</v>
      </c>
      <c r="C482" s="117">
        <f t="shared" si="32"/>
        <v>30.269375816576311</v>
      </c>
      <c r="D482" s="122">
        <f t="shared" si="31"/>
        <v>8.7380161379511403</v>
      </c>
      <c r="E482" s="118">
        <f t="shared" si="36"/>
        <v>1.0771912436364953E-2</v>
      </c>
      <c r="F482" s="116">
        <f t="shared" si="37"/>
        <v>60358.614155457391</v>
      </c>
      <c r="G482" s="116">
        <f t="shared" si="33"/>
        <v>5712135.7460244969</v>
      </c>
      <c r="H482" s="116">
        <f t="shared" si="34"/>
        <v>49655.974498993637</v>
      </c>
      <c r="I482" s="116">
        <f t="shared" si="38"/>
        <v>61530.626080806076</v>
      </c>
      <c r="J482" s="19"/>
      <c r="K482" s="19"/>
      <c r="L482" s="19"/>
      <c r="M482" s="91"/>
      <c r="N482" s="110"/>
      <c r="O482" s="111"/>
      <c r="P482" s="23"/>
      <c r="Q482" s="164"/>
      <c r="T482" s="62"/>
      <c r="U482" s="30"/>
      <c r="V482" s="30"/>
      <c r="W482" s="30"/>
      <c r="X482" s="30"/>
      <c r="Y482" s="30"/>
      <c r="Z482" s="30"/>
      <c r="AA482" s="30"/>
      <c r="AB482" s="30"/>
      <c r="AC482" s="30"/>
      <c r="AD482" s="30"/>
      <c r="AE482" s="30"/>
      <c r="AF482" s="30"/>
      <c r="AG482" s="30"/>
      <c r="AH482" s="30"/>
      <c r="AI482" s="30"/>
      <c r="AJ482" s="30"/>
      <c r="AK482" s="30"/>
      <c r="AL482" s="30"/>
      <c r="AM482" s="30"/>
      <c r="AN482" s="30"/>
      <c r="AO482" s="30"/>
      <c r="AP482" s="30"/>
      <c r="AQ482" s="30"/>
    </row>
    <row r="483" spans="2:43">
      <c r="B483" s="116">
        <f t="shared" si="39"/>
        <v>41.804067603011738</v>
      </c>
      <c r="C483" s="117">
        <f t="shared" si="32"/>
        <v>33.48770438844231</v>
      </c>
      <c r="D483" s="122">
        <f t="shared" si="31"/>
        <v>9.6670675716048908</v>
      </c>
      <c r="E483" s="118">
        <f t="shared" si="36"/>
        <v>8.80093859330674E-3</v>
      </c>
      <c r="F483" s="116">
        <f t="shared" si="37"/>
        <v>58170.110304827227</v>
      </c>
      <c r="G483" s="116">
        <f t="shared" si="33"/>
        <v>6737875.3278512452</v>
      </c>
      <c r="H483" s="116">
        <f t="shared" si="34"/>
        <v>48928.20427346378</v>
      </c>
      <c r="I483" s="116">
        <f t="shared" si="38"/>
        <v>59299.627009775322</v>
      </c>
      <c r="J483" s="19"/>
      <c r="K483" s="19"/>
      <c r="L483" s="19"/>
      <c r="M483" s="91"/>
      <c r="N483" s="110"/>
      <c r="O483" s="111"/>
      <c r="P483" s="23"/>
      <c r="Q483" s="164"/>
      <c r="T483" s="62"/>
      <c r="U483" s="30"/>
      <c r="V483" s="30"/>
      <c r="W483" s="30"/>
      <c r="X483" s="30"/>
      <c r="Y483" s="30"/>
      <c r="Z483" s="30"/>
      <c r="AA483" s="30"/>
      <c r="AB483" s="30"/>
      <c r="AC483" s="30"/>
      <c r="AD483" s="30"/>
      <c r="AE483" s="30"/>
      <c r="AF483" s="30"/>
      <c r="AG483" s="30"/>
      <c r="AH483" s="30"/>
      <c r="AI483" s="30"/>
      <c r="AJ483" s="30"/>
      <c r="AK483" s="30"/>
      <c r="AL483" s="30"/>
      <c r="AM483" s="30"/>
      <c r="AN483" s="30"/>
      <c r="AO483" s="30"/>
      <c r="AP483" s="30"/>
      <c r="AQ483" s="30"/>
    </row>
    <row r="484" spans="2:43">
      <c r="B484" s="116">
        <f t="shared" si="39"/>
        <v>42.568938141530069</v>
      </c>
      <c r="C484" s="117">
        <f t="shared" si="32"/>
        <v>36.306959362818482</v>
      </c>
      <c r="D484" s="122">
        <f t="shared" si="31"/>
        <v>10.480916380790028</v>
      </c>
      <c r="E484" s="118">
        <f t="shared" si="36"/>
        <v>7.4872095316724681E-3</v>
      </c>
      <c r="F484" s="116">
        <f t="shared" si="37"/>
        <v>56098.511236407685</v>
      </c>
      <c r="G484" s="116">
        <f t="shared" si="33"/>
        <v>7638066.2882225839</v>
      </c>
      <c r="H484" s="116">
        <f t="shared" si="34"/>
        <v>48186.995417610684</v>
      </c>
      <c r="I484" s="116">
        <f t="shared" si="38"/>
        <v>57187.802716726277</v>
      </c>
      <c r="J484" s="19"/>
      <c r="K484" s="19"/>
      <c r="L484" s="19"/>
      <c r="M484" s="91"/>
      <c r="N484" s="110"/>
      <c r="O484" s="111"/>
      <c r="P484" s="23"/>
      <c r="Q484" s="164"/>
      <c r="T484" s="62"/>
      <c r="U484" s="30"/>
      <c r="V484" s="30"/>
      <c r="W484" s="30"/>
      <c r="X484" s="30"/>
      <c r="Y484" s="30"/>
      <c r="Z484" s="30"/>
      <c r="AA484" s="30"/>
      <c r="AB484" s="30"/>
      <c r="AC484" s="30"/>
      <c r="AD484" s="30"/>
      <c r="AE484" s="30"/>
      <c r="AF484" s="30"/>
      <c r="AG484" s="30"/>
      <c r="AH484" s="30"/>
      <c r="AI484" s="30"/>
      <c r="AJ484" s="30"/>
      <c r="AK484" s="30"/>
      <c r="AL484" s="30"/>
      <c r="AM484" s="30"/>
      <c r="AN484" s="30"/>
      <c r="AO484" s="30"/>
      <c r="AP484" s="30"/>
      <c r="AQ484" s="30"/>
    </row>
    <row r="485" spans="2:43">
      <c r="B485" s="116">
        <f t="shared" si="39"/>
        <v>43.333808680048399</v>
      </c>
      <c r="C485" s="117">
        <f t="shared" si="32"/>
        <v>38.708848885397778</v>
      </c>
      <c r="D485" s="122">
        <f t="shared" si="31"/>
        <v>11.174282162002477</v>
      </c>
      <c r="E485" s="118">
        <f t="shared" si="36"/>
        <v>6.5868721244271853E-3</v>
      </c>
      <c r="F485" s="116">
        <f t="shared" si="37"/>
        <v>54135.636448359168</v>
      </c>
      <c r="G485" s="116">
        <f t="shared" si="33"/>
        <v>8378303.5122945607</v>
      </c>
      <c r="H485" s="116">
        <f t="shared" si="34"/>
        <v>47432.347931434357</v>
      </c>
      <c r="I485" s="116">
        <f t="shared" si="38"/>
        <v>55186.813855123422</v>
      </c>
      <c r="J485" s="19"/>
      <c r="K485" s="19"/>
      <c r="L485" s="19"/>
      <c r="M485" s="91"/>
      <c r="N485" s="110"/>
      <c r="O485" s="111"/>
      <c r="P485" s="23"/>
      <c r="Q485" s="164"/>
      <c r="T485" s="62"/>
      <c r="U485" s="30"/>
      <c r="V485" s="30"/>
      <c r="W485" s="30"/>
      <c r="X485" s="30"/>
      <c r="Y485" s="30"/>
      <c r="Z485" s="30"/>
      <c r="AA485" s="30"/>
      <c r="AB485" s="30"/>
      <c r="AC485" s="30"/>
      <c r="AD485" s="30"/>
      <c r="AE485" s="30"/>
      <c r="AF485" s="30"/>
      <c r="AG485" s="30"/>
      <c r="AH485" s="30"/>
      <c r="AI485" s="30"/>
      <c r="AJ485" s="30"/>
      <c r="AK485" s="30"/>
      <c r="AL485" s="30"/>
      <c r="AM485" s="30"/>
      <c r="AN485" s="30"/>
      <c r="AO485" s="30"/>
      <c r="AP485" s="30"/>
      <c r="AQ485" s="30"/>
    </row>
    <row r="486" spans="2:43">
      <c r="B486" s="116">
        <f t="shared" si="39"/>
        <v>44.09867921856673</v>
      </c>
      <c r="C486" s="117">
        <f t="shared" si="32"/>
        <v>40.728747305533304</v>
      </c>
      <c r="D486" s="122">
        <f t="shared" si="31"/>
        <v>11.75737661030295</v>
      </c>
      <c r="E486" s="118">
        <f t="shared" si="36"/>
        <v>5.9497352361015067E-3</v>
      </c>
      <c r="F486" s="116">
        <f t="shared" si="37"/>
        <v>52274.008665147754</v>
      </c>
      <c r="G486" s="116">
        <f t="shared" si="33"/>
        <v>8956539.3828404453</v>
      </c>
      <c r="H486" s="116">
        <f t="shared" si="34"/>
        <v>46664.261814934769</v>
      </c>
      <c r="I486" s="116">
        <f t="shared" si="38"/>
        <v>53289.037959616639</v>
      </c>
      <c r="J486" s="19"/>
      <c r="K486" s="19"/>
      <c r="L486" s="19"/>
      <c r="M486" s="91"/>
      <c r="N486" s="110"/>
      <c r="O486" s="111"/>
      <c r="P486" s="23"/>
      <c r="Q486" s="164"/>
      <c r="T486" s="62"/>
      <c r="U486" s="30"/>
      <c r="V486" s="30"/>
      <c r="W486" s="30"/>
      <c r="X486" s="30"/>
      <c r="Y486" s="30"/>
      <c r="Z486" s="30"/>
      <c r="AA486" s="30"/>
      <c r="AB486" s="30"/>
      <c r="AC486" s="30"/>
      <c r="AD486" s="30"/>
      <c r="AE486" s="30"/>
      <c r="AF486" s="30"/>
      <c r="AG486" s="30"/>
      <c r="AH486" s="30"/>
      <c r="AI486" s="30"/>
      <c r="AJ486" s="30"/>
      <c r="AK486" s="30"/>
      <c r="AL486" s="30"/>
      <c r="AM486" s="30"/>
      <c r="AN486" s="30"/>
      <c r="AO486" s="30"/>
      <c r="AP486" s="30"/>
      <c r="AQ486" s="30"/>
    </row>
    <row r="487" spans="2:43" s="8" customFormat="1">
      <c r="B487" s="116">
        <f t="shared" si="39"/>
        <v>44.86354975708506</v>
      </c>
      <c r="C487" s="117">
        <f t="shared" si="32"/>
        <v>42.429062177031682</v>
      </c>
      <c r="D487" s="122">
        <f t="shared" si="31"/>
        <v>12.248215234686306</v>
      </c>
      <c r="E487" s="118">
        <f t="shared" si="36"/>
        <v>5.4824272865561276E-3</v>
      </c>
      <c r="F487" s="116">
        <f t="shared" si="37"/>
        <v>50506.782523029935</v>
      </c>
      <c r="G487" s="116">
        <f t="shared" si="33"/>
        <v>9391368.8327494022</v>
      </c>
      <c r="H487" s="116">
        <f t="shared" si="34"/>
        <v>45882.737068111943</v>
      </c>
      <c r="I487" s="116">
        <f t="shared" si="38"/>
        <v>51487.496746778088</v>
      </c>
      <c r="J487" s="23"/>
      <c r="K487" s="23"/>
      <c r="L487" s="23"/>
      <c r="M487" s="111"/>
      <c r="N487" s="110"/>
      <c r="O487" s="111"/>
      <c r="P487" s="23"/>
      <c r="Q487" s="164"/>
      <c r="R487" s="111"/>
      <c r="S487" s="111"/>
      <c r="T487" s="163"/>
      <c r="U487" s="82"/>
      <c r="V487" s="82"/>
      <c r="W487" s="82"/>
      <c r="X487" s="82"/>
      <c r="Y487" s="82"/>
      <c r="Z487" s="82"/>
      <c r="AA487" s="82"/>
      <c r="AB487" s="82"/>
      <c r="AC487" s="82"/>
      <c r="AD487" s="82"/>
      <c r="AE487" s="82"/>
      <c r="AF487" s="82"/>
      <c r="AG487" s="82"/>
      <c r="AH487" s="82"/>
      <c r="AI487" s="82"/>
      <c r="AJ487" s="82"/>
      <c r="AK487" s="82"/>
      <c r="AL487" s="82"/>
      <c r="AM487" s="82"/>
      <c r="AN487" s="82"/>
      <c r="AO487" s="82"/>
      <c r="AP487" s="82"/>
      <c r="AQ487" s="82"/>
    </row>
    <row r="488" spans="2:43" s="8" customFormat="1">
      <c r="B488" s="116">
        <f t="shared" si="39"/>
        <v>45.628420295603391</v>
      </c>
      <c r="C488" s="117">
        <f t="shared" si="32"/>
        <v>43.877864244462309</v>
      </c>
      <c r="D488" s="122">
        <f t="shared" si="31"/>
        <v>12.666448366503085</v>
      </c>
      <c r="E488" s="118">
        <f t="shared" si="36"/>
        <v>5.1263562672189903E-3</v>
      </c>
      <c r="F488" s="116">
        <f t="shared" si="37"/>
        <v>48827.68155248915</v>
      </c>
      <c r="G488" s="116">
        <f t="shared" si="33"/>
        <v>9709780.0619502589</v>
      </c>
      <c r="H488" s="116">
        <f t="shared" si="34"/>
        <v>45087.773690965871</v>
      </c>
      <c r="I488" s="116">
        <f t="shared" si="38"/>
        <v>49775.791873896706</v>
      </c>
      <c r="J488" s="23"/>
      <c r="K488" s="23"/>
      <c r="L488" s="23"/>
      <c r="M488" s="111"/>
      <c r="N488" s="110"/>
      <c r="O488" s="111"/>
      <c r="P488" s="23"/>
      <c r="Q488" s="164"/>
      <c r="R488" s="111"/>
      <c r="S488" s="111"/>
      <c r="T488" s="163"/>
      <c r="U488" s="82"/>
      <c r="V488" s="82"/>
      <c r="W488" s="82"/>
      <c r="X488" s="82"/>
      <c r="Y488" s="82"/>
      <c r="Z488" s="82"/>
      <c r="AA488" s="82"/>
      <c r="AB488" s="82"/>
      <c r="AC488" s="82"/>
      <c r="AD488" s="82"/>
      <c r="AE488" s="82"/>
      <c r="AF488" s="82"/>
      <c r="AG488" s="82"/>
      <c r="AH488" s="82"/>
      <c r="AI488" s="82"/>
      <c r="AJ488" s="82"/>
      <c r="AK488" s="82"/>
      <c r="AL488" s="82"/>
      <c r="AM488" s="82"/>
      <c r="AN488" s="82"/>
      <c r="AO488" s="82"/>
      <c r="AP488" s="82"/>
      <c r="AQ488" s="82"/>
    </row>
    <row r="489" spans="2:43" s="8" customFormat="1">
      <c r="B489" s="116">
        <f t="shared" si="39"/>
        <v>46.393290834121721</v>
      </c>
      <c r="C489" s="117">
        <f t="shared" si="32"/>
        <v>45.136682023297581</v>
      </c>
      <c r="D489" s="122">
        <f t="shared" si="31"/>
        <v>13.029837758238701</v>
      </c>
      <c r="E489" s="118">
        <f t="shared" si="36"/>
        <v>4.8444054398412038E-3</v>
      </c>
      <c r="F489" s="116">
        <f t="shared" si="37"/>
        <v>47230.942372492143</v>
      </c>
      <c r="G489" s="116">
        <f t="shared" si="33"/>
        <v>9938897.280076988</v>
      </c>
      <c r="H489" s="116">
        <f t="shared" si="34"/>
        <v>44279.37168349656</v>
      </c>
      <c r="I489" s="116">
        <f t="shared" si="38"/>
        <v>48148.048049627905</v>
      </c>
      <c r="J489" s="23"/>
      <c r="K489" s="23"/>
      <c r="L489" s="23"/>
      <c r="M489" s="111"/>
      <c r="N489" s="110"/>
      <c r="O489" s="111"/>
      <c r="P489" s="23"/>
      <c r="Q489" s="164"/>
      <c r="R489" s="111"/>
      <c r="S489" s="111"/>
      <c r="T489" s="163"/>
      <c r="U489" s="82"/>
      <c r="V489" s="82"/>
      <c r="W489" s="82"/>
      <c r="X489" s="82"/>
      <c r="Y489" s="82"/>
      <c r="Z489" s="82"/>
      <c r="AA489" s="82"/>
      <c r="AB489" s="82"/>
      <c r="AC489" s="82"/>
      <c r="AD489" s="82"/>
      <c r="AE489" s="82"/>
      <c r="AF489" s="82"/>
      <c r="AG489" s="82"/>
      <c r="AH489" s="82"/>
      <c r="AI489" s="82"/>
      <c r="AJ489" s="82"/>
      <c r="AK489" s="82"/>
      <c r="AL489" s="82"/>
      <c r="AM489" s="82"/>
      <c r="AN489" s="82"/>
      <c r="AO489" s="82"/>
      <c r="AP489" s="82"/>
      <c r="AQ489" s="82"/>
    </row>
    <row r="490" spans="2:43" s="8" customFormat="1">
      <c r="B490" s="116">
        <f t="shared" si="39"/>
        <v>47.158161372640052</v>
      </c>
      <c r="C490" s="117">
        <f t="shared" si="32"/>
        <v>46.255785432539213</v>
      </c>
      <c r="D490" s="122">
        <f t="shared" si="31"/>
        <v>13.352895085527043</v>
      </c>
      <c r="E490" s="118">
        <f t="shared" si="36"/>
        <v>4.612831872905899E-3</v>
      </c>
      <c r="F490" s="116">
        <f t="shared" si="37"/>
        <v>45711.265168522244</v>
      </c>
      <c r="G490" s="116">
        <f t="shared" si="33"/>
        <v>10102007.581100041</v>
      </c>
      <c r="H490" s="116">
        <f t="shared" si="34"/>
        <v>43457.531045704003</v>
      </c>
      <c r="I490" s="116">
        <f t="shared" si="38"/>
        <v>46598.862550435297</v>
      </c>
      <c r="J490" s="23"/>
      <c r="K490" s="23"/>
      <c r="L490" s="23"/>
      <c r="M490" s="111"/>
      <c r="N490" s="110"/>
      <c r="O490" s="111"/>
      <c r="P490" s="23"/>
      <c r="Q490" s="164"/>
      <c r="R490" s="111"/>
      <c r="S490" s="111"/>
      <c r="T490" s="163"/>
      <c r="U490" s="82"/>
      <c r="V490" s="82"/>
      <c r="W490" s="82"/>
      <c r="X490" s="82"/>
      <c r="Y490" s="82"/>
      <c r="Z490" s="82"/>
      <c r="AA490" s="82"/>
      <c r="AB490" s="82"/>
      <c r="AC490" s="82"/>
      <c r="AD490" s="82"/>
      <c r="AE490" s="82"/>
      <c r="AF490" s="82"/>
      <c r="AG490" s="82"/>
      <c r="AH490" s="82"/>
      <c r="AI490" s="82"/>
      <c r="AJ490" s="82"/>
      <c r="AK490" s="82"/>
      <c r="AL490" s="82"/>
      <c r="AM490" s="82"/>
      <c r="AN490" s="82"/>
      <c r="AO490" s="82"/>
      <c r="AP490" s="82"/>
      <c r="AQ490" s="82"/>
    </row>
    <row r="491" spans="2:43" s="8" customFormat="1">
      <c r="B491" s="116">
        <f t="shared" si="39"/>
        <v>47.923031911158382</v>
      </c>
      <c r="C491" s="117">
        <f t="shared" si="32"/>
        <v>47.273854930888341</v>
      </c>
      <c r="D491" s="122">
        <f t="shared" si="31"/>
        <v>13.646786434989851</v>
      </c>
      <c r="E491" s="118">
        <f t="shared" si="36"/>
        <v>4.4162912717715551E-3</v>
      </c>
      <c r="F491" s="116">
        <f t="shared" si="37"/>
        <v>44263.76965856929</v>
      </c>
      <c r="G491" s="116">
        <f>F491/((F491/MIN($D$35:$D$36))+0.002*MIN($H$34:$H$35)*(F491/MIN($D$24:$D$26))^MIN($H$34:$H$35))</f>
        <v>10217455.678246155</v>
      </c>
      <c r="H491" s="116">
        <f t="shared" si="34"/>
        <v>42622.251777588201</v>
      </c>
      <c r="I491" s="116">
        <f t="shared" si="38"/>
        <v>45123.26033155121</v>
      </c>
      <c r="J491" s="23"/>
      <c r="K491" s="23"/>
      <c r="L491" s="23"/>
      <c r="M491" s="111"/>
      <c r="N491" s="110"/>
      <c r="O491" s="111"/>
      <c r="P491" s="23"/>
      <c r="Q491" s="164"/>
      <c r="R491" s="111"/>
      <c r="S491" s="111"/>
      <c r="T491" s="163"/>
      <c r="U491" s="82"/>
      <c r="V491" s="82"/>
      <c r="W491" s="82"/>
      <c r="X491" s="82"/>
      <c r="Y491" s="82"/>
      <c r="Z491" s="82"/>
      <c r="AA491" s="82"/>
      <c r="AB491" s="82"/>
      <c r="AC491" s="82"/>
      <c r="AD491" s="82"/>
      <c r="AE491" s="82"/>
      <c r="AF491" s="82"/>
      <c r="AG491" s="82"/>
      <c r="AH491" s="82"/>
      <c r="AI491" s="82"/>
      <c r="AJ491" s="82"/>
      <c r="AK491" s="82"/>
      <c r="AL491" s="82"/>
      <c r="AM491" s="82"/>
      <c r="AN491" s="82"/>
      <c r="AO491" s="82"/>
      <c r="AP491" s="82"/>
      <c r="AQ491" s="82"/>
    </row>
    <row r="492" spans="2:43" s="8" customFormat="1">
      <c r="B492" s="116">
        <f t="shared" si="39"/>
        <v>48.687902449676713</v>
      </c>
      <c r="C492" s="117">
        <f t="shared" si="32"/>
        <v>48.219580792447829</v>
      </c>
      <c r="D492" s="122">
        <f t="shared" si="31"/>
        <v>13.919793975365332</v>
      </c>
      <c r="E492" s="118">
        <f t="shared" si="36"/>
        <v>4.2447575018640053E-3</v>
      </c>
      <c r="F492" s="116">
        <f t="shared" si="37"/>
        <v>42883.955862872885</v>
      </c>
      <c r="G492" s="116">
        <f t="shared" si="33"/>
        <v>10298975.622463746</v>
      </c>
      <c r="H492" s="116">
        <f t="shared" si="34"/>
        <v>41773.533879149152</v>
      </c>
      <c r="I492" s="116">
        <f t="shared" si="38"/>
        <v>43716.654034967498</v>
      </c>
      <c r="J492" s="23"/>
      <c r="K492" s="23"/>
      <c r="L492" s="23"/>
      <c r="M492" s="111"/>
      <c r="N492" s="110"/>
      <c r="O492" s="111"/>
      <c r="P492" s="23"/>
      <c r="Q492" s="164"/>
      <c r="R492" s="111"/>
      <c r="S492" s="111"/>
      <c r="T492" s="163"/>
      <c r="U492" s="82"/>
      <c r="V492" s="82"/>
      <c r="W492" s="82"/>
      <c r="X492" s="82"/>
      <c r="Y492" s="82"/>
      <c r="Z492" s="82"/>
      <c r="AA492" s="82"/>
      <c r="AB492" s="82"/>
      <c r="AC492" s="82"/>
      <c r="AD492" s="82"/>
      <c r="AE492" s="82"/>
      <c r="AF492" s="82"/>
      <c r="AG492" s="82"/>
      <c r="AH492" s="82"/>
      <c r="AI492" s="82"/>
      <c r="AJ492" s="82"/>
      <c r="AK492" s="82"/>
      <c r="AL492" s="82"/>
      <c r="AM492" s="82"/>
      <c r="AN492" s="82"/>
      <c r="AO492" s="82"/>
      <c r="AP492" s="82"/>
      <c r="AQ492" s="82"/>
    </row>
    <row r="493" spans="2:43" s="8" customFormat="1">
      <c r="B493" s="116">
        <f t="shared" si="39"/>
        <v>49.452772988195044</v>
      </c>
      <c r="C493" s="117">
        <f t="shared" si="32"/>
        <v>49.113772056850074</v>
      </c>
      <c r="D493" s="122">
        <f t="shared" si="31"/>
        <v>14.177924758970155</v>
      </c>
      <c r="E493" s="118">
        <f t="shared" si="36"/>
        <v>4.0915999518285817E-3</v>
      </c>
      <c r="F493" s="116">
        <f t="shared" si="37"/>
        <v>41567.669087706323</v>
      </c>
      <c r="G493" s="116">
        <f t="shared" si="33"/>
        <v>10356537.489535132</v>
      </c>
      <c r="H493" s="116">
        <f t="shared" si="34"/>
        <v>40911.377350386865</v>
      </c>
      <c r="I493" s="116">
        <f t="shared" si="38"/>
        <v>42374.808293292845</v>
      </c>
      <c r="J493" s="23"/>
      <c r="K493" s="23"/>
      <c r="L493" s="23"/>
      <c r="M493" s="111"/>
      <c r="N493" s="110"/>
      <c r="O493" s="111"/>
      <c r="P493" s="23"/>
      <c r="Q493" s="164"/>
      <c r="R493" s="111"/>
      <c r="S493" s="111"/>
      <c r="T493" s="163"/>
      <c r="U493" s="82"/>
      <c r="V493" s="82"/>
      <c r="W493" s="82"/>
      <c r="X493" s="82"/>
      <c r="Y493" s="82"/>
      <c r="Z493" s="82"/>
      <c r="AA493" s="82"/>
      <c r="AB493" s="82"/>
      <c r="AC493" s="82"/>
      <c r="AD493" s="82"/>
      <c r="AE493" s="82"/>
      <c r="AF493" s="82"/>
      <c r="AG493" s="82"/>
      <c r="AH493" s="82"/>
      <c r="AI493" s="82"/>
      <c r="AJ493" s="82"/>
      <c r="AK493" s="82"/>
      <c r="AL493" s="82"/>
      <c r="AM493" s="82"/>
      <c r="AN493" s="82"/>
      <c r="AO493" s="82"/>
      <c r="AP493" s="82"/>
      <c r="AQ493" s="82"/>
    </row>
    <row r="494" spans="2:43" s="8" customFormat="1">
      <c r="B494" s="116">
        <f t="shared" si="39"/>
        <v>50.217643526713374</v>
      </c>
      <c r="C494" s="117">
        <f t="shared" si="32"/>
        <v>49.97132296174992</v>
      </c>
      <c r="D494" s="122">
        <f t="shared" si="31"/>
        <v>14.425478381864023</v>
      </c>
      <c r="E494" s="118">
        <f t="shared" si="36"/>
        <v>3.9523741556998461E-3</v>
      </c>
      <c r="F494" s="116">
        <f t="shared" si="37"/>
        <v>40311.068613698902</v>
      </c>
      <c r="G494" s="116">
        <f t="shared" si="33"/>
        <v>10397246.361612475</v>
      </c>
      <c r="H494" s="116">
        <f t="shared" si="34"/>
        <v>40035.782191301332</v>
      </c>
      <c r="I494" s="116">
        <f t="shared" si="38"/>
        <v>41093.807810081402</v>
      </c>
      <c r="J494" s="23"/>
      <c r="K494" s="23"/>
      <c r="L494" s="23"/>
      <c r="M494" s="111"/>
      <c r="N494" s="110"/>
      <c r="O494" s="111"/>
      <c r="P494" s="23"/>
      <c r="Q494" s="164"/>
      <c r="R494" s="111"/>
      <c r="S494" s="111"/>
      <c r="T494" s="163"/>
      <c r="U494" s="82"/>
      <c r="V494" s="82"/>
      <c r="W494" s="82"/>
      <c r="X494" s="82"/>
      <c r="Y494" s="82"/>
      <c r="Z494" s="82"/>
      <c r="AA494" s="82"/>
      <c r="AB494" s="82"/>
      <c r="AC494" s="82"/>
      <c r="AD494" s="82"/>
      <c r="AE494" s="82"/>
      <c r="AF494" s="82"/>
      <c r="AG494" s="82"/>
      <c r="AH494" s="82"/>
      <c r="AI494" s="82"/>
      <c r="AJ494" s="82"/>
      <c r="AK494" s="82"/>
      <c r="AL494" s="82"/>
      <c r="AM494" s="82"/>
      <c r="AN494" s="82"/>
      <c r="AO494" s="82"/>
      <c r="AP494" s="82"/>
      <c r="AQ494" s="82"/>
    </row>
    <row r="495" spans="2:43" s="8" customFormat="1">
      <c r="B495" s="116">
        <f t="shared" si="39"/>
        <v>50.982514065231705</v>
      </c>
      <c r="C495" s="117">
        <f t="shared" si="32"/>
        <v>50.802816965421997</v>
      </c>
      <c r="D495" s="122">
        <f t="shared" si="31"/>
        <v>14.665510025288839</v>
      </c>
      <c r="E495" s="118">
        <f t="shared" si="36"/>
        <v>3.8240552390244797E-3</v>
      </c>
      <c r="F495" s="116">
        <f t="shared" si="37"/>
        <v>39110.599647463212</v>
      </c>
      <c r="G495" s="116">
        <f t="shared" si="33"/>
        <v>10426112.14397685</v>
      </c>
      <c r="H495" s="116">
        <f t="shared" si="34"/>
        <v>39146.748401892561</v>
      </c>
      <c r="I495" s="116">
        <f t="shared" si="38"/>
        <v>39870.028766831427</v>
      </c>
      <c r="J495" s="23"/>
      <c r="K495" s="23"/>
      <c r="L495" s="23"/>
      <c r="M495" s="111"/>
      <c r="N495" s="110"/>
      <c r="O495" s="111"/>
      <c r="P495" s="23"/>
      <c r="Q495" s="164"/>
      <c r="R495" s="111"/>
      <c r="S495" s="111"/>
      <c r="T495" s="163"/>
      <c r="U495" s="82"/>
      <c r="V495" s="82"/>
      <c r="W495" s="82"/>
      <c r="X495" s="82"/>
      <c r="Y495" s="82"/>
      <c r="Z495" s="82"/>
      <c r="AA495" s="82"/>
      <c r="AB495" s="82"/>
      <c r="AC495" s="82"/>
      <c r="AD495" s="82"/>
      <c r="AE495" s="82"/>
      <c r="AF495" s="82"/>
      <c r="AG495" s="82"/>
      <c r="AH495" s="82"/>
      <c r="AI495" s="82"/>
      <c r="AJ495" s="82"/>
      <c r="AK495" s="82"/>
      <c r="AL495" s="82"/>
      <c r="AM495" s="82"/>
      <c r="AN495" s="82"/>
      <c r="AO495" s="82"/>
      <c r="AP495" s="82"/>
      <c r="AQ495" s="82"/>
    </row>
    <row r="496" spans="2:43" s="8" customFormat="1">
      <c r="B496" s="116">
        <f t="shared" si="39"/>
        <v>51.747384603750035</v>
      </c>
      <c r="C496" s="117">
        <f t="shared" si="32"/>
        <v>51.615749407784179</v>
      </c>
      <c r="D496" s="122">
        <f t="shared" si="31"/>
        <v>14.900183407504231</v>
      </c>
      <c r="E496" s="118">
        <f t="shared" si="36"/>
        <v>3.7045483803824627E-3</v>
      </c>
      <c r="F496" s="116">
        <f t="shared" si="37"/>
        <v>37962.968153548674</v>
      </c>
      <c r="G496" s="116">
        <f t="shared" si="33"/>
        <v>10446648.064086961</v>
      </c>
      <c r="H496" s="116">
        <f t="shared" si="34"/>
        <v>38244.275982160543</v>
      </c>
      <c r="I496" s="116">
        <f t="shared" si="38"/>
        <v>38700.113166238938</v>
      </c>
      <c r="J496" s="23"/>
      <c r="K496" s="23"/>
      <c r="L496" s="23"/>
      <c r="M496" s="111"/>
      <c r="N496" s="110"/>
      <c r="O496" s="111"/>
      <c r="P496" s="23"/>
      <c r="Q496" s="164"/>
      <c r="R496" s="111"/>
      <c r="S496" s="111"/>
      <c r="T496" s="163"/>
      <c r="U496" s="82"/>
      <c r="V496" s="82"/>
      <c r="W496" s="82"/>
      <c r="X496" s="82"/>
      <c r="Y496" s="82"/>
      <c r="Z496" s="82"/>
      <c r="AA496" s="82"/>
      <c r="AB496" s="82"/>
      <c r="AC496" s="82"/>
      <c r="AD496" s="82"/>
      <c r="AE496" s="82"/>
      <c r="AF496" s="82"/>
      <c r="AG496" s="82"/>
      <c r="AH496" s="82"/>
      <c r="AI496" s="82"/>
      <c r="AJ496" s="82"/>
      <c r="AK496" s="82"/>
      <c r="AL496" s="82"/>
      <c r="AM496" s="82"/>
      <c r="AN496" s="82"/>
      <c r="AO496" s="82"/>
      <c r="AP496" s="82"/>
      <c r="AQ496" s="82"/>
    </row>
    <row r="497" spans="1:43" s="8" customFormat="1">
      <c r="B497" s="116">
        <f t="shared" si="39"/>
        <v>52.512255142268366</v>
      </c>
      <c r="C497" s="117">
        <f t="shared" si="32"/>
        <v>52.415424782959953</v>
      </c>
      <c r="D497" s="122">
        <f t="shared" si="31"/>
        <v>15.131029804065257</v>
      </c>
      <c r="E497" s="118">
        <f t="shared" si="36"/>
        <v>3.5923738462471781E-3</v>
      </c>
      <c r="F497" s="116">
        <f t="shared" si="37"/>
        <v>36865.118233574758</v>
      </c>
      <c r="G497" s="116">
        <f t="shared" si="33"/>
        <v>10461312.597337332</v>
      </c>
      <c r="H497" s="116">
        <f t="shared" si="34"/>
        <v>37328.364932105273</v>
      </c>
      <c r="I497" s="116">
        <f t="shared" si="38"/>
        <v>37580.945772090767</v>
      </c>
      <c r="J497" s="23"/>
      <c r="K497" s="23"/>
      <c r="L497" s="23"/>
      <c r="M497" s="111"/>
      <c r="N497" s="110"/>
      <c r="O497" s="111"/>
      <c r="P497" s="23"/>
      <c r="Q497" s="164"/>
      <c r="R497" s="111"/>
      <c r="S497" s="111"/>
      <c r="T497" s="163"/>
      <c r="U497" s="82"/>
      <c r="V497" s="82"/>
      <c r="W497" s="82"/>
      <c r="X497" s="82"/>
      <c r="Y497" s="82"/>
      <c r="Z497" s="82"/>
      <c r="AA497" s="82"/>
      <c r="AB497" s="82"/>
      <c r="AC497" s="82"/>
      <c r="AD497" s="82"/>
      <c r="AE497" s="82"/>
      <c r="AF497" s="82"/>
      <c r="AG497" s="82"/>
      <c r="AH497" s="82"/>
      <c r="AI497" s="82"/>
      <c r="AJ497" s="82"/>
      <c r="AK497" s="82"/>
      <c r="AL497" s="82"/>
      <c r="AM497" s="82"/>
      <c r="AN497" s="82"/>
      <c r="AO497" s="82"/>
      <c r="AP497" s="82"/>
      <c r="AQ497" s="82"/>
    </row>
    <row r="498" spans="1:43" s="8" customFormat="1">
      <c r="B498" s="116">
        <f t="shared" si="39"/>
        <v>53.277125680786696</v>
      </c>
      <c r="C498" s="117">
        <f t="shared" si="32"/>
        <v>53.205600928391746</v>
      </c>
      <c r="D498" s="122">
        <f t="shared" si="31"/>
        <v>15.359134009201389</v>
      </c>
      <c r="E498" s="118">
        <f t="shared" si="36"/>
        <v>3.4864628347088308E-3</v>
      </c>
      <c r="F498" s="116">
        <f t="shared" si="37"/>
        <v>35814.211762128267</v>
      </c>
      <c r="G498" s="116">
        <f t="shared" si="33"/>
        <v>10471826.341092054</v>
      </c>
      <c r="H498" s="116">
        <f t="shared" si="34"/>
        <v>36399.015251726771</v>
      </c>
      <c r="I498" s="116">
        <f t="shared" si="38"/>
        <v>36509.633349742406</v>
      </c>
      <c r="J498" s="23"/>
      <c r="K498" s="23"/>
      <c r="L498" s="23"/>
      <c r="M498" s="111"/>
      <c r="N498" s="110"/>
      <c r="O498" s="111"/>
      <c r="P498" s="23"/>
      <c r="Q498" s="164"/>
      <c r="R498" s="111"/>
      <c r="S498" s="111"/>
      <c r="T498" s="163"/>
      <c r="U498" s="82"/>
      <c r="V498" s="82"/>
      <c r="W498" s="82"/>
      <c r="X498" s="82"/>
      <c r="Y498" s="82"/>
      <c r="Z498" s="82"/>
      <c r="AA498" s="82"/>
      <c r="AB498" s="82"/>
      <c r="AC498" s="82"/>
      <c r="AD498" s="82"/>
      <c r="AE498" s="82"/>
      <c r="AF498" s="82"/>
      <c r="AG498" s="82"/>
      <c r="AH498" s="82"/>
      <c r="AI498" s="82"/>
      <c r="AJ498" s="82"/>
      <c r="AK498" s="82"/>
      <c r="AL498" s="82"/>
      <c r="AM498" s="82"/>
      <c r="AN498" s="82"/>
      <c r="AO498" s="82"/>
      <c r="AP498" s="82"/>
      <c r="AQ498" s="82"/>
    </row>
    <row r="499" spans="1:43" s="8" customFormat="1">
      <c r="B499" s="116">
        <f t="shared" si="39"/>
        <v>54.041996219305027</v>
      </c>
      <c r="C499" s="117">
        <f t="shared" si="32"/>
        <v>53.988945749570995</v>
      </c>
      <c r="D499" s="122">
        <f t="shared" si="31"/>
        <v>15.585266180889459</v>
      </c>
      <c r="E499" s="118">
        <f t="shared" si="36"/>
        <v>3.3860241505117997E-3</v>
      </c>
      <c r="F499" s="116">
        <f t="shared" si="37"/>
        <v>34807.610025735419</v>
      </c>
      <c r="G499" s="116">
        <f t="shared" si="33"/>
        <v>10479395.412227606</v>
      </c>
      <c r="H499" s="116">
        <f t="shared" si="34"/>
        <v>35456.226941025008</v>
      </c>
      <c r="I499" s="116">
        <f t="shared" si="38"/>
        <v>35483.485948565234</v>
      </c>
      <c r="J499" s="23"/>
      <c r="K499" s="23"/>
      <c r="L499" s="23"/>
      <c r="M499" s="111"/>
      <c r="N499" s="110"/>
      <c r="O499" s="111"/>
      <c r="P499" s="23"/>
      <c r="Q499" s="164"/>
      <c r="R499" s="111"/>
      <c r="S499" s="111"/>
      <c r="T499" s="163"/>
      <c r="U499" s="82"/>
      <c r="V499" s="82"/>
      <c r="W499" s="82"/>
      <c r="X499" s="82"/>
      <c r="Y499" s="82"/>
      <c r="Z499" s="82"/>
      <c r="AA499" s="82"/>
      <c r="AB499" s="82"/>
      <c r="AC499" s="82"/>
      <c r="AD499" s="82"/>
      <c r="AE499" s="82"/>
      <c r="AF499" s="82"/>
      <c r="AG499" s="82"/>
      <c r="AH499" s="82"/>
      <c r="AI499" s="82"/>
      <c r="AJ499" s="82"/>
      <c r="AK499" s="82"/>
      <c r="AL499" s="82"/>
      <c r="AM499" s="82"/>
      <c r="AN499" s="82"/>
      <c r="AO499" s="82"/>
      <c r="AP499" s="82"/>
      <c r="AQ499" s="82"/>
    </row>
    <row r="500" spans="1:43" s="8" customFormat="1">
      <c r="B500" s="116">
        <f>(PI()^2*MIN(D35:D36)/V467)^0.5</f>
        <v>54.806866757823371</v>
      </c>
      <c r="C500" s="117">
        <f t="shared" si="32"/>
        <v>54.767358865167033</v>
      </c>
      <c r="D500" s="122">
        <f t="shared" si="31"/>
        <v>15.809974691804513</v>
      </c>
      <c r="E500" s="118">
        <f t="shared" si="36"/>
        <v>3.2904564705314608E-3</v>
      </c>
      <c r="F500" s="116">
        <f t="shared" si="37"/>
        <v>33842.857142857145</v>
      </c>
      <c r="G500" s="116">
        <f t="shared" si="33"/>
        <v>10484867.467165643</v>
      </c>
      <c r="H500" s="116">
        <f t="shared" si="34"/>
        <v>34500</v>
      </c>
      <c r="I500" s="116">
        <f t="shared" si="38"/>
        <v>34500</v>
      </c>
      <c r="J500" s="23"/>
      <c r="K500" s="23"/>
      <c r="L500" s="23"/>
      <c r="M500" s="111"/>
      <c r="N500" s="110"/>
      <c r="O500" s="111"/>
      <c r="P500" s="23"/>
      <c r="Q500" s="164"/>
      <c r="R500" s="111"/>
      <c r="S500" s="111"/>
      <c r="T500" s="163"/>
      <c r="U500" s="82"/>
      <c r="V500" s="82"/>
      <c r="W500" s="82"/>
      <c r="X500" s="82"/>
      <c r="Y500" s="82"/>
      <c r="Z500" s="82"/>
      <c r="AA500" s="82"/>
      <c r="AB500" s="82"/>
      <c r="AC500" s="82"/>
      <c r="AD500" s="82"/>
      <c r="AE500" s="82"/>
      <c r="AF500" s="82"/>
      <c r="AG500" s="82"/>
      <c r="AH500" s="82"/>
      <c r="AI500" s="82"/>
      <c r="AJ500" s="82"/>
      <c r="AK500" s="82"/>
      <c r="AL500" s="82"/>
      <c r="AM500" s="82"/>
      <c r="AN500" s="82"/>
      <c r="AO500" s="82"/>
      <c r="AP500" s="82"/>
      <c r="AQ500" s="82"/>
    </row>
    <row r="501" spans="1:43" s="8" customFormat="1">
      <c r="B501" s="116">
        <f>B500+10</f>
        <v>64.806866757823371</v>
      </c>
      <c r="C501" s="117">
        <f t="shared" si="32"/>
        <v>64.805695547666616</v>
      </c>
      <c r="D501" s="122">
        <f t="shared" si="31"/>
        <v>18.707792884733127</v>
      </c>
      <c r="E501" s="118">
        <f t="shared" si="36"/>
        <v>2.3500299274996192E-3</v>
      </c>
      <c r="F501" s="116">
        <f t="shared" si="37"/>
        <v>24204.433369206119</v>
      </c>
      <c r="G501" s="116">
        <f t="shared" si="33"/>
        <v>10499620.484799307</v>
      </c>
      <c r="H501" s="116">
        <f t="shared" si="34"/>
        <v>20761.788693057642</v>
      </c>
      <c r="I501" s="116">
        <f t="shared" si="38"/>
        <v>24674.422366666433</v>
      </c>
      <c r="J501" s="23"/>
      <c r="K501" s="23"/>
      <c r="L501" s="23"/>
      <c r="M501" s="111"/>
      <c r="N501" s="110"/>
      <c r="O501" s="111"/>
      <c r="P501" s="23"/>
      <c r="Q501" s="164"/>
      <c r="R501" s="111"/>
      <c r="S501" s="111"/>
      <c r="T501" s="163"/>
      <c r="U501" s="82"/>
      <c r="V501" s="82"/>
      <c r="W501" s="82"/>
      <c r="X501" s="82"/>
      <c r="Y501" s="82"/>
      <c r="Z501" s="82"/>
      <c r="AA501" s="82"/>
      <c r="AB501" s="82"/>
      <c r="AC501" s="82"/>
      <c r="AD501" s="82"/>
      <c r="AE501" s="82"/>
      <c r="AF501" s="82"/>
      <c r="AG501" s="82"/>
      <c r="AH501" s="82"/>
      <c r="AI501" s="82"/>
      <c r="AJ501" s="82"/>
      <c r="AK501" s="82"/>
      <c r="AL501" s="82"/>
      <c r="AM501" s="82"/>
      <c r="AN501" s="82"/>
      <c r="AO501" s="82"/>
      <c r="AP501" s="82"/>
      <c r="AQ501" s="82"/>
    </row>
    <row r="502" spans="1:43" s="8" customFormat="1">
      <c r="B502" s="116">
        <f>B501+10</f>
        <v>74.806866757823371</v>
      </c>
      <c r="C502" s="117">
        <f t="shared" si="32"/>
        <v>74.806809224844329</v>
      </c>
      <c r="D502" s="122">
        <f t="shared" si="31"/>
        <v>21.594865721590427</v>
      </c>
      <c r="E502" s="118">
        <f t="shared" si="36"/>
        <v>1.7636706330113891E-3</v>
      </c>
      <c r="F502" s="116">
        <f t="shared" si="37"/>
        <v>18165.779577859943</v>
      </c>
      <c r="G502" s="116">
        <f t="shared" si="33"/>
        <v>10499983.84918193</v>
      </c>
      <c r="H502" s="116">
        <f t="shared" si="34"/>
        <v>4726.4814083954334</v>
      </c>
      <c r="I502" s="116">
        <f t="shared" si="38"/>
        <v>18518.513161896055</v>
      </c>
      <c r="J502" s="23"/>
      <c r="K502" s="23"/>
      <c r="L502" s="23"/>
      <c r="M502" s="111"/>
      <c r="N502" s="110"/>
      <c r="O502" s="111"/>
      <c r="P502" s="23"/>
      <c r="Q502" s="164"/>
      <c r="R502" s="111"/>
      <c r="S502" s="111"/>
      <c r="T502" s="163"/>
      <c r="U502" s="82"/>
      <c r="V502" s="82"/>
      <c r="W502" s="82"/>
      <c r="X502" s="82"/>
      <c r="Y502" s="82"/>
      <c r="Z502" s="82"/>
      <c r="AA502" s="82"/>
      <c r="AB502" s="82"/>
      <c r="AC502" s="82"/>
      <c r="AD502" s="82"/>
      <c r="AE502" s="82"/>
      <c r="AF502" s="82"/>
      <c r="AG502" s="82"/>
      <c r="AH502" s="82"/>
      <c r="AI502" s="82"/>
      <c r="AJ502" s="82"/>
      <c r="AK502" s="82"/>
      <c r="AL502" s="82"/>
      <c r="AM502" s="82"/>
      <c r="AN502" s="82"/>
      <c r="AO502" s="82"/>
      <c r="AP502" s="82"/>
      <c r="AQ502" s="82"/>
    </row>
    <row r="503" spans="1:43">
      <c r="B503" s="116">
        <f>B502+10</f>
        <v>84.806866757823371</v>
      </c>
      <c r="C503" s="117">
        <f t="shared" si="32"/>
        <v>84.806862630802058</v>
      </c>
      <c r="D503" s="122">
        <f t="shared" si="31"/>
        <v>24.481632484510591</v>
      </c>
      <c r="E503" s="118">
        <f t="shared" si="36"/>
        <v>1.3722642559486592E-3</v>
      </c>
      <c r="F503" s="116">
        <f t="shared" si="37"/>
        <v>14134.320460612631</v>
      </c>
      <c r="G503" s="116">
        <f t="shared" si="33"/>
        <v>10499998.978060989</v>
      </c>
      <c r="H503" s="116">
        <f t="shared" si="34"/>
        <v>-13605.921853986642</v>
      </c>
      <c r="I503" s="116">
        <f t="shared" si="38"/>
        <v>14408.773285090545</v>
      </c>
      <c r="J503" s="19"/>
      <c r="K503" s="19"/>
      <c r="L503" s="19"/>
      <c r="M503" s="91"/>
      <c r="N503" s="110"/>
      <c r="O503" s="111"/>
      <c r="P503" s="23"/>
      <c r="Q503" s="164"/>
      <c r="T503" s="62"/>
      <c r="U503" s="30"/>
      <c r="V503" s="30"/>
      <c r="W503" s="30"/>
      <c r="X503" s="30"/>
      <c r="Y503" s="30"/>
      <c r="Z503" s="30"/>
      <c r="AA503" s="30"/>
      <c r="AB503" s="30"/>
      <c r="AC503" s="30"/>
      <c r="AD503" s="30"/>
      <c r="AE503" s="30"/>
      <c r="AF503" s="30"/>
      <c r="AG503" s="30"/>
      <c r="AH503" s="30"/>
      <c r="AI503" s="30"/>
      <c r="AJ503" s="30"/>
      <c r="AK503" s="30"/>
      <c r="AL503" s="30"/>
      <c r="AM503" s="30"/>
      <c r="AN503" s="30"/>
      <c r="AO503" s="30"/>
      <c r="AP503" s="30"/>
      <c r="AQ503" s="30"/>
    </row>
    <row r="504" spans="1:43">
      <c r="B504" s="116">
        <f>B503+10</f>
        <v>94.806866757823371</v>
      </c>
      <c r="C504" s="117">
        <f t="shared" si="32"/>
        <v>94.806866360583854</v>
      </c>
      <c r="D504" s="122">
        <f t="shared" si="31"/>
        <v>27.368384907153985</v>
      </c>
      <c r="E504" s="118">
        <f t="shared" si="36"/>
        <v>1.098045056684171E-3</v>
      </c>
      <c r="F504" s="116">
        <f t="shared" si="37"/>
        <v>11309.863989070598</v>
      </c>
      <c r="G504" s="116">
        <f t="shared" si="33"/>
        <v>10499999.912010277</v>
      </c>
      <c r="H504" s="116">
        <f t="shared" si="34"/>
        <v>-34235.421094088568</v>
      </c>
      <c r="I504" s="116">
        <f t="shared" si="38"/>
        <v>11529.472998567115</v>
      </c>
      <c r="J504" s="19"/>
      <c r="K504" s="19"/>
      <c r="L504" s="19"/>
      <c r="M504" s="91"/>
      <c r="N504" s="110"/>
      <c r="O504" s="111"/>
      <c r="P504" s="23"/>
      <c r="Q504" s="164"/>
      <c r="T504" s="62"/>
      <c r="U504" s="30"/>
      <c r="V504" s="30"/>
      <c r="W504" s="30"/>
      <c r="X504" s="30"/>
      <c r="Y504" s="30"/>
      <c r="Z504" s="30"/>
      <c r="AA504" s="30"/>
      <c r="AB504" s="30"/>
      <c r="AC504" s="30"/>
      <c r="AD504" s="30"/>
      <c r="AE504" s="30"/>
      <c r="AF504" s="30"/>
      <c r="AG504" s="30"/>
      <c r="AH504" s="30"/>
      <c r="AI504" s="30"/>
      <c r="AJ504" s="30"/>
      <c r="AK504" s="30"/>
      <c r="AL504" s="30"/>
      <c r="AM504" s="30"/>
      <c r="AN504" s="30"/>
      <c r="AO504" s="30"/>
      <c r="AP504" s="30"/>
      <c r="AQ504" s="30"/>
    </row>
    <row r="505" spans="1:43">
      <c r="B505" s="116">
        <f>B504+10</f>
        <v>104.80686675782337</v>
      </c>
      <c r="C505" s="117">
        <f t="shared" si="32"/>
        <v>104.80686670946145</v>
      </c>
      <c r="D505" s="122">
        <f t="shared" si="31"/>
        <v>30.255136353814397</v>
      </c>
      <c r="E505" s="118">
        <f t="shared" si="36"/>
        <v>8.9850452834793566E-4</v>
      </c>
      <c r="F505" s="116">
        <f t="shared" si="37"/>
        <v>9254.5966334428813</v>
      </c>
      <c r="G505" s="116">
        <f t="shared" si="33"/>
        <v>10499999.99030979</v>
      </c>
      <c r="H505" s="116">
        <f t="shared" si="34"/>
        <v>-57162.016311910353</v>
      </c>
      <c r="I505" s="116">
        <f t="shared" si="38"/>
        <v>9434.2975389466264</v>
      </c>
      <c r="J505" s="19"/>
      <c r="K505" s="19"/>
      <c r="L505" s="19"/>
      <c r="M505" s="160"/>
      <c r="N505" s="110"/>
      <c r="O505" s="111"/>
      <c r="P505" s="23"/>
      <c r="Q505" s="164"/>
      <c r="T505" s="62"/>
      <c r="U505" s="30"/>
      <c r="V505" s="30"/>
      <c r="W505" s="30"/>
      <c r="X505" s="30"/>
      <c r="Y505" s="30"/>
      <c r="Z505" s="30"/>
      <c r="AA505" s="30"/>
      <c r="AB505" s="30"/>
      <c r="AC505" s="30"/>
      <c r="AD505" s="30"/>
      <c r="AE505" s="30"/>
      <c r="AF505" s="30"/>
      <c r="AG505" s="30"/>
      <c r="AH505" s="30"/>
      <c r="AI505" s="30"/>
      <c r="AJ505" s="30"/>
      <c r="AK505" s="30"/>
      <c r="AL505" s="30"/>
      <c r="AM505" s="30"/>
      <c r="AN505" s="30"/>
      <c r="AO505" s="30"/>
      <c r="AP505" s="30"/>
      <c r="AQ505" s="30"/>
    </row>
    <row r="506" spans="1:43">
      <c r="A506" s="27"/>
      <c r="B506" s="8"/>
      <c r="C506" s="80"/>
      <c r="D506" s="27"/>
      <c r="E506" s="27"/>
      <c r="F506" s="27"/>
      <c r="G506" s="80"/>
      <c r="H506" s="27"/>
      <c r="I506" s="27"/>
      <c r="J506" s="27"/>
      <c r="K506" s="27"/>
      <c r="L506" s="19"/>
      <c r="M506" s="160"/>
      <c r="N506" s="110"/>
      <c r="O506" s="111"/>
      <c r="P506" s="23"/>
      <c r="Q506" s="164"/>
      <c r="T506" s="62"/>
      <c r="U506" s="30"/>
      <c r="V506" s="30"/>
      <c r="W506" s="30"/>
      <c r="X506" s="30"/>
      <c r="Y506" s="30"/>
      <c r="Z506" s="30"/>
      <c r="AA506" s="30"/>
      <c r="AB506" s="30"/>
      <c r="AC506" s="30"/>
      <c r="AD506" s="30"/>
      <c r="AE506" s="30"/>
      <c r="AF506" s="30"/>
      <c r="AG506" s="30"/>
      <c r="AH506" s="30"/>
      <c r="AI506" s="30"/>
      <c r="AJ506" s="30"/>
      <c r="AK506" s="30"/>
      <c r="AL506" s="30"/>
      <c r="AM506" s="30"/>
      <c r="AN506" s="30"/>
      <c r="AO506" s="30"/>
      <c r="AP506" s="30"/>
      <c r="AQ506" s="30"/>
    </row>
    <row r="507" spans="1:43">
      <c r="A507" s="27"/>
      <c r="B507" s="193"/>
      <c r="C507" s="80"/>
      <c r="D507" s="28"/>
      <c r="E507" s="28"/>
      <c r="F507" s="194" t="s">
        <v>276</v>
      </c>
      <c r="G507" s="80"/>
      <c r="H507" s="28"/>
      <c r="I507" s="28"/>
      <c r="J507" s="28"/>
      <c r="K507" s="27"/>
      <c r="L507" s="19"/>
      <c r="M507" s="160"/>
      <c r="N507" s="110"/>
      <c r="O507" s="111"/>
      <c r="P507" s="23"/>
      <c r="Q507" s="164"/>
      <c r="T507" s="62"/>
      <c r="U507" s="30"/>
      <c r="V507" s="30"/>
      <c r="W507" s="30"/>
      <c r="X507" s="30"/>
      <c r="Y507" s="30"/>
      <c r="Z507" s="30"/>
      <c r="AA507" s="30"/>
      <c r="AB507" s="30"/>
      <c r="AC507" s="30"/>
      <c r="AD507" s="30"/>
      <c r="AE507" s="30"/>
      <c r="AF507" s="30"/>
      <c r="AG507" s="30"/>
      <c r="AH507" s="30"/>
      <c r="AI507" s="30"/>
      <c r="AJ507" s="30"/>
      <c r="AK507" s="30"/>
      <c r="AL507" s="30"/>
      <c r="AM507" s="30"/>
      <c r="AN507" s="30"/>
      <c r="AO507" s="30"/>
      <c r="AP507" s="30"/>
      <c r="AQ507" s="30"/>
    </row>
    <row r="508" spans="1:43">
      <c r="A508" s="27"/>
      <c r="B508" s="28"/>
      <c r="C508" s="28"/>
      <c r="D508" s="28"/>
      <c r="E508" s="28"/>
      <c r="F508" s="204" t="s">
        <v>292</v>
      </c>
      <c r="G508" s="28"/>
      <c r="H508" s="28"/>
      <c r="I508" s="28"/>
      <c r="J508" s="28"/>
      <c r="K508" s="27"/>
      <c r="L508" s="19"/>
      <c r="M508" s="160"/>
      <c r="N508" s="110"/>
      <c r="O508" s="111"/>
      <c r="P508" s="23"/>
      <c r="Q508" s="164"/>
      <c r="T508" s="62"/>
      <c r="U508" s="30"/>
      <c r="V508" s="30"/>
      <c r="W508" s="30"/>
      <c r="X508" s="30"/>
      <c r="Y508" s="30"/>
      <c r="Z508" s="30"/>
      <c r="AA508" s="30"/>
      <c r="AB508" s="30"/>
      <c r="AC508" s="30"/>
      <c r="AD508" s="30"/>
      <c r="AE508" s="30"/>
      <c r="AF508" s="30"/>
      <c r="AG508" s="30"/>
      <c r="AH508" s="30"/>
      <c r="AI508" s="30"/>
      <c r="AJ508" s="30"/>
      <c r="AK508" s="30"/>
      <c r="AL508" s="30"/>
      <c r="AM508" s="30"/>
      <c r="AN508" s="30"/>
      <c r="AO508" s="30"/>
      <c r="AP508" s="30"/>
      <c r="AQ508" s="30"/>
    </row>
    <row r="509" spans="1:43">
      <c r="A509" s="146"/>
      <c r="B509" s="141"/>
      <c r="C509" s="141"/>
      <c r="D509" s="141"/>
      <c r="E509" s="13" t="s">
        <v>47</v>
      </c>
      <c r="F509" s="14" t="str">
        <f>$C$1</f>
        <v>R. Abbott</v>
      </c>
      <c r="G509" s="15"/>
      <c r="H509" s="16"/>
      <c r="I509" s="13" t="s">
        <v>53</v>
      </c>
      <c r="J509" s="17" t="str">
        <f>$G$2</f>
        <v>AA-SM-000-001</v>
      </c>
      <c r="K509" s="16"/>
      <c r="L509" s="18"/>
      <c r="N509" s="110"/>
      <c r="O509" s="111"/>
      <c r="P509" s="23"/>
      <c r="Q509" s="164"/>
      <c r="T509" s="62"/>
      <c r="U509" s="30"/>
      <c r="V509" s="30"/>
      <c r="W509" s="30"/>
      <c r="X509" s="30"/>
      <c r="Y509" s="30"/>
      <c r="Z509" s="30"/>
      <c r="AA509" s="30"/>
      <c r="AB509" s="30"/>
      <c r="AC509" s="30"/>
      <c r="AD509" s="30"/>
      <c r="AE509" s="30"/>
      <c r="AF509" s="30"/>
      <c r="AG509" s="30"/>
      <c r="AH509" s="30"/>
      <c r="AI509" s="30"/>
      <c r="AJ509" s="30"/>
      <c r="AK509" s="30"/>
      <c r="AL509" s="30"/>
      <c r="AM509" s="30"/>
      <c r="AN509" s="30"/>
      <c r="AO509" s="30"/>
      <c r="AP509" s="30"/>
      <c r="AQ509" s="30"/>
    </row>
    <row r="510" spans="1:43">
      <c r="A510" s="141"/>
      <c r="B510" s="141"/>
      <c r="C510" s="141"/>
      <c r="D510" s="141"/>
      <c r="E510" s="13" t="s">
        <v>49</v>
      </c>
      <c r="F510" s="16" t="str">
        <f>$C$2</f>
        <v xml:space="preserve"> </v>
      </c>
      <c r="G510" s="15"/>
      <c r="H510" s="16"/>
      <c r="I510" s="13" t="s">
        <v>54</v>
      </c>
      <c r="J510" s="16" t="str">
        <f>$G$3</f>
        <v>C</v>
      </c>
      <c r="K510" s="16"/>
      <c r="L510" s="18"/>
      <c r="M510" s="10">
        <v>1</v>
      </c>
      <c r="N510" s="110"/>
      <c r="O510" s="111"/>
      <c r="P510" s="23"/>
      <c r="Q510" s="164"/>
      <c r="T510" s="62"/>
      <c r="U510" s="30"/>
      <c r="V510" s="30"/>
      <c r="W510" s="30"/>
      <c r="X510" s="30"/>
      <c r="Y510" s="30"/>
      <c r="Z510" s="30"/>
      <c r="AA510" s="30"/>
      <c r="AB510" s="30"/>
      <c r="AC510" s="30"/>
      <c r="AD510" s="30"/>
      <c r="AE510" s="30"/>
      <c r="AF510" s="30"/>
      <c r="AG510" s="30"/>
      <c r="AH510" s="30"/>
      <c r="AI510" s="30"/>
      <c r="AJ510" s="30"/>
      <c r="AK510" s="30"/>
      <c r="AL510" s="30"/>
      <c r="AM510" s="30"/>
      <c r="AN510" s="30"/>
      <c r="AO510" s="30"/>
      <c r="AP510" s="30"/>
      <c r="AQ510" s="30"/>
    </row>
    <row r="511" spans="1:43">
      <c r="A511" s="141"/>
      <c r="B511" s="141"/>
      <c r="C511" s="141"/>
      <c r="D511" s="141"/>
      <c r="E511" s="13" t="s">
        <v>0</v>
      </c>
      <c r="F511" s="16" t="str">
        <f>$C$3</f>
        <v>Jul-10</v>
      </c>
      <c r="G511" s="15"/>
      <c r="H511" s="16"/>
      <c r="I511" s="13" t="s">
        <v>55</v>
      </c>
      <c r="J511" s="14" t="str">
        <f>L511&amp;" of "&amp;$G$1</f>
        <v>10 of 1</v>
      </c>
      <c r="K511" s="16"/>
      <c r="L511" s="18">
        <f>SUM($M$1:M510)</f>
        <v>10</v>
      </c>
      <c r="N511" s="110"/>
      <c r="O511" s="111"/>
      <c r="P511" s="23"/>
      <c r="Q511" s="164"/>
      <c r="T511" s="62"/>
      <c r="U511" s="30"/>
      <c r="V511" s="30"/>
      <c r="W511" s="30"/>
      <c r="X511" s="30"/>
      <c r="Y511" s="30"/>
      <c r="Z511" s="30"/>
      <c r="AA511" s="30"/>
      <c r="AB511" s="30"/>
      <c r="AC511" s="30"/>
      <c r="AD511" s="30"/>
      <c r="AE511" s="30"/>
      <c r="AF511" s="30"/>
      <c r="AG511" s="30"/>
      <c r="AH511" s="30"/>
      <c r="AI511" s="30"/>
      <c r="AJ511" s="30"/>
      <c r="AK511" s="30"/>
      <c r="AL511" s="30"/>
      <c r="AM511" s="30"/>
      <c r="AN511" s="30"/>
      <c r="AO511" s="30"/>
      <c r="AP511" s="30"/>
      <c r="AQ511" s="30"/>
    </row>
    <row r="512" spans="1:43">
      <c r="A512" s="3"/>
      <c r="B512" s="3"/>
      <c r="C512" s="3"/>
      <c r="D512" s="3"/>
      <c r="E512" s="142" t="s">
        <v>291</v>
      </c>
      <c r="F512" s="147" t="str">
        <f>$C$5</f>
        <v>STANDARD SPREADSHEET METHOD</v>
      </c>
      <c r="G512" s="15"/>
      <c r="H512" s="15"/>
      <c r="I512" s="15"/>
      <c r="J512" s="15"/>
      <c r="K512" s="15"/>
      <c r="L512" s="18"/>
      <c r="N512" s="110"/>
      <c r="O512" s="111"/>
      <c r="P512" s="23"/>
      <c r="Q512" s="164"/>
      <c r="T512" s="62"/>
      <c r="U512" s="30"/>
      <c r="V512" s="30"/>
      <c r="W512" s="30"/>
      <c r="X512" s="30"/>
      <c r="Y512" s="30"/>
      <c r="Z512" s="30"/>
      <c r="AA512" s="30"/>
      <c r="AB512" s="30"/>
      <c r="AC512" s="30"/>
      <c r="AD512" s="30"/>
      <c r="AE512" s="30"/>
      <c r="AF512" s="30"/>
      <c r="AG512" s="30"/>
      <c r="AH512" s="30"/>
      <c r="AI512" s="30"/>
      <c r="AJ512" s="30"/>
      <c r="AK512" s="30"/>
      <c r="AL512" s="30"/>
      <c r="AM512" s="30"/>
      <c r="AN512" s="30"/>
      <c r="AO512" s="30"/>
      <c r="AP512" s="30"/>
      <c r="AQ512" s="30"/>
    </row>
    <row r="513" spans="1:43" ht="15.6">
      <c r="A513" s="116"/>
      <c r="B513" s="26" t="str">
        <f>$G$4</f>
        <v>ALUMINUM MATERIAL DATA</v>
      </c>
      <c r="C513" s="122"/>
      <c r="D513" s="118"/>
      <c r="E513" s="116"/>
      <c r="F513" s="116"/>
      <c r="G513" s="116"/>
      <c r="H513" s="116"/>
      <c r="I513" s="19"/>
      <c r="J513" s="19"/>
      <c r="K513" s="19"/>
      <c r="L513" s="19"/>
      <c r="M513" s="91"/>
      <c r="N513" s="110"/>
      <c r="O513" s="111"/>
      <c r="P513" s="23"/>
      <c r="Q513" s="164"/>
      <c r="T513" s="62"/>
      <c r="U513" s="30"/>
      <c r="V513" s="30"/>
      <c r="W513" s="30"/>
      <c r="X513" s="30"/>
      <c r="Y513" s="30"/>
      <c r="Z513" s="30"/>
      <c r="AA513" s="30"/>
      <c r="AB513" s="30"/>
      <c r="AC513" s="30"/>
      <c r="AD513" s="30"/>
      <c r="AE513" s="30"/>
      <c r="AF513" s="30"/>
      <c r="AG513" s="30"/>
      <c r="AH513" s="30"/>
      <c r="AI513" s="30"/>
      <c r="AJ513" s="30"/>
      <c r="AK513" s="30"/>
      <c r="AL513" s="30"/>
      <c r="AM513" s="30"/>
      <c r="AN513" s="30"/>
      <c r="AO513" s="30"/>
      <c r="AP513" s="30"/>
      <c r="AQ513" s="30"/>
    </row>
    <row r="514" spans="1:43">
      <c r="A514" s="25"/>
      <c r="B514" s="225" t="s">
        <v>296</v>
      </c>
      <c r="C514" s="225"/>
      <c r="L514" s="19"/>
      <c r="M514" s="91"/>
      <c r="N514" s="110"/>
      <c r="O514" s="111"/>
      <c r="P514" s="23"/>
      <c r="Q514" s="164"/>
      <c r="T514" s="62"/>
      <c r="U514" s="30"/>
      <c r="V514" s="30"/>
      <c r="W514" s="30"/>
      <c r="X514" s="30"/>
      <c r="Y514" s="30"/>
      <c r="Z514" s="30"/>
      <c r="AA514" s="30"/>
      <c r="AB514" s="30"/>
      <c r="AC514" s="30"/>
      <c r="AD514" s="30"/>
      <c r="AE514" s="30"/>
      <c r="AF514" s="30"/>
      <c r="AG514" s="30"/>
      <c r="AH514" s="30"/>
      <c r="AI514" s="30"/>
      <c r="AJ514" s="30"/>
      <c r="AK514" s="30"/>
      <c r="AL514" s="30"/>
      <c r="AM514" s="30"/>
      <c r="AN514" s="30"/>
      <c r="AO514" s="30"/>
      <c r="AP514" s="30"/>
      <c r="AQ514" s="30"/>
    </row>
    <row r="515" spans="1:43">
      <c r="A515" s="27"/>
      <c r="B515" s="113" t="str">
        <f>B459</f>
        <v xml:space="preserve">Material Properties for </v>
      </c>
      <c r="C515" s="27"/>
      <c r="D515" s="29"/>
      <c r="E515" s="29"/>
      <c r="F515" s="29"/>
      <c r="G515" s="29"/>
      <c r="H515" s="29"/>
      <c r="I515" s="19"/>
      <c r="J515" s="19"/>
      <c r="K515" s="19"/>
      <c r="L515" s="19"/>
      <c r="M515" s="91"/>
      <c r="N515" s="110"/>
      <c r="O515" s="111"/>
      <c r="P515" s="23"/>
      <c r="Q515" s="164"/>
      <c r="T515" s="62"/>
      <c r="U515" s="30"/>
      <c r="V515" s="30"/>
      <c r="W515" s="30"/>
      <c r="X515" s="30"/>
      <c r="Y515" s="30"/>
      <c r="Z515" s="30"/>
      <c r="AA515" s="30"/>
      <c r="AB515" s="30"/>
      <c r="AC515" s="30"/>
      <c r="AD515" s="30"/>
      <c r="AE515" s="30"/>
      <c r="AF515" s="30"/>
      <c r="AG515" s="30"/>
      <c r="AH515" s="30"/>
      <c r="AI515" s="30"/>
      <c r="AJ515" s="30"/>
      <c r="AK515" s="30"/>
      <c r="AL515" s="30"/>
      <c r="AM515" s="30"/>
      <c r="AN515" s="30"/>
      <c r="AO515" s="30"/>
      <c r="AP515" s="30"/>
      <c r="AQ515" s="30"/>
    </row>
    <row r="516" spans="1:43">
      <c r="A516" s="27"/>
      <c r="B516" s="28" t="s">
        <v>125</v>
      </c>
      <c r="C516" s="27"/>
      <c r="D516" s="27"/>
      <c r="E516" s="27"/>
      <c r="F516" s="27"/>
      <c r="G516" s="27"/>
      <c r="H516" s="27"/>
      <c r="I516" s="19"/>
      <c r="J516" s="19"/>
      <c r="K516" s="19"/>
      <c r="L516" s="19"/>
      <c r="M516" s="91"/>
      <c r="N516" s="110"/>
      <c r="O516" s="111"/>
      <c r="P516" s="23"/>
      <c r="Q516" s="164"/>
      <c r="T516" s="62"/>
      <c r="U516" s="30"/>
      <c r="V516" s="30"/>
      <c r="W516" s="30"/>
      <c r="X516" s="30"/>
      <c r="Y516" s="30"/>
      <c r="Z516" s="30"/>
      <c r="AA516" s="30"/>
      <c r="AB516" s="30"/>
      <c r="AC516" s="30"/>
      <c r="AD516" s="30"/>
      <c r="AE516" s="30"/>
      <c r="AF516" s="30"/>
      <c r="AG516" s="30"/>
      <c r="AH516" s="30"/>
      <c r="AI516" s="30"/>
      <c r="AJ516" s="30"/>
      <c r="AK516" s="30"/>
      <c r="AL516" s="30"/>
      <c r="AM516" s="30"/>
      <c r="AN516" s="30"/>
      <c r="AO516" s="30"/>
      <c r="AP516" s="30"/>
      <c r="AQ516" s="30"/>
    </row>
    <row r="517" spans="1:43">
      <c r="A517" s="34"/>
      <c r="B517" s="225" t="s">
        <v>301</v>
      </c>
      <c r="C517" s="225"/>
      <c r="D517" s="28" t="s">
        <v>112</v>
      </c>
      <c r="E517" s="27"/>
      <c r="F517" s="27"/>
      <c r="G517" s="27"/>
      <c r="H517" s="27"/>
      <c r="I517" s="19"/>
      <c r="J517" s="19"/>
      <c r="K517" s="19"/>
      <c r="L517" s="19"/>
      <c r="M517" s="91"/>
      <c r="N517" s="110"/>
      <c r="O517" s="111"/>
      <c r="P517" s="23"/>
      <c r="Q517" s="164"/>
      <c r="T517" s="62"/>
      <c r="U517" s="30"/>
      <c r="V517" s="30"/>
      <c r="W517" s="30"/>
      <c r="X517" s="30"/>
      <c r="Y517" s="30"/>
      <c r="Z517" s="30"/>
      <c r="AA517" s="30"/>
      <c r="AB517" s="30"/>
      <c r="AC517" s="30"/>
      <c r="AD517" s="30"/>
      <c r="AE517" s="30"/>
      <c r="AF517" s="30"/>
      <c r="AG517" s="30"/>
      <c r="AH517" s="30"/>
      <c r="AI517" s="30"/>
      <c r="AJ517" s="30"/>
      <c r="AK517" s="30"/>
      <c r="AL517" s="30"/>
      <c r="AM517" s="30"/>
      <c r="AN517" s="30"/>
      <c r="AO517" s="30"/>
      <c r="AP517" s="30"/>
      <c r="AQ517" s="30"/>
    </row>
    <row r="518" spans="1:43">
      <c r="A518" s="34"/>
      <c r="B518" s="34"/>
      <c r="C518" s="117"/>
      <c r="D518" s="31"/>
      <c r="E518" s="38"/>
      <c r="F518" s="38"/>
      <c r="G518" s="38"/>
      <c r="H518" s="29"/>
      <c r="I518" s="19"/>
      <c r="J518" s="19"/>
      <c r="K518" s="19"/>
      <c r="L518" s="19"/>
      <c r="M518" s="91"/>
      <c r="N518" s="110"/>
      <c r="O518" s="111"/>
      <c r="P518" s="23"/>
      <c r="Q518" s="164"/>
      <c r="T518" s="62"/>
      <c r="U518" s="30"/>
      <c r="V518" s="30"/>
      <c r="W518" s="30"/>
      <c r="X518" s="30"/>
      <c r="Y518" s="30"/>
      <c r="Z518" s="30"/>
      <c r="AA518" s="30"/>
      <c r="AB518" s="30"/>
      <c r="AC518" s="30"/>
      <c r="AD518" s="30"/>
      <c r="AE518" s="30"/>
      <c r="AF518" s="30"/>
      <c r="AG518" s="30"/>
      <c r="AH518" s="30"/>
      <c r="AI518" s="30"/>
      <c r="AJ518" s="30"/>
      <c r="AK518" s="30"/>
      <c r="AL518" s="30"/>
      <c r="AM518" s="30"/>
      <c r="AN518" s="30"/>
      <c r="AO518" s="30"/>
      <c r="AP518" s="30"/>
      <c r="AQ518" s="30"/>
    </row>
    <row r="519" spans="1:43">
      <c r="A519" s="34"/>
      <c r="B519" s="34"/>
      <c r="C519" s="38"/>
      <c r="D519" s="31"/>
      <c r="E519" s="38"/>
      <c r="F519" s="38"/>
      <c r="G519" s="38"/>
      <c r="H519" s="29"/>
      <c r="I519" s="19"/>
      <c r="J519" s="19"/>
      <c r="K519" s="19"/>
      <c r="L519" s="19"/>
      <c r="M519" s="91"/>
      <c r="N519" s="110"/>
      <c r="O519" s="111"/>
      <c r="P519" s="23"/>
      <c r="Q519" s="164"/>
      <c r="T519" s="62"/>
      <c r="U519" s="30"/>
      <c r="V519" s="30"/>
      <c r="W519" s="30"/>
      <c r="X519" s="30"/>
      <c r="Y519" s="30"/>
      <c r="Z519" s="30"/>
      <c r="AA519" s="30"/>
      <c r="AB519" s="30"/>
      <c r="AC519" s="30"/>
      <c r="AD519" s="30"/>
      <c r="AE519" s="30"/>
      <c r="AF519" s="30"/>
      <c r="AG519" s="30"/>
      <c r="AH519" s="30"/>
      <c r="AI519" s="30"/>
      <c r="AJ519" s="30"/>
      <c r="AK519" s="30"/>
      <c r="AL519" s="30"/>
      <c r="AM519" s="30"/>
      <c r="AN519" s="30"/>
      <c r="AO519" s="30"/>
      <c r="AP519" s="30"/>
      <c r="AQ519" s="30"/>
    </row>
    <row r="520" spans="1:43">
      <c r="A520" s="34"/>
      <c r="B520" s="34"/>
      <c r="C520" s="38"/>
      <c r="D520" s="31"/>
      <c r="E520" s="38"/>
      <c r="F520" s="38"/>
      <c r="G520" s="38"/>
      <c r="H520" s="29"/>
      <c r="I520" s="19"/>
      <c r="J520" s="19"/>
      <c r="K520" s="19"/>
      <c r="L520" s="19"/>
      <c r="M520" s="91"/>
      <c r="N520" s="110"/>
      <c r="O520" s="111"/>
      <c r="P520" s="23"/>
      <c r="Q520" s="164"/>
      <c r="T520" s="62"/>
      <c r="U520" s="30"/>
      <c r="V520" s="30"/>
      <c r="W520" s="30"/>
      <c r="X520" s="30"/>
      <c r="Y520" s="30"/>
      <c r="Z520" s="30"/>
      <c r="AA520" s="30"/>
      <c r="AB520" s="30"/>
      <c r="AC520" s="30"/>
      <c r="AD520" s="30"/>
      <c r="AE520" s="30"/>
      <c r="AF520" s="30"/>
      <c r="AG520" s="30"/>
      <c r="AH520" s="30"/>
      <c r="AI520" s="30"/>
      <c r="AJ520" s="30"/>
      <c r="AK520" s="30"/>
      <c r="AL520" s="30"/>
      <c r="AM520" s="30"/>
      <c r="AN520" s="30"/>
      <c r="AO520" s="30"/>
      <c r="AP520" s="30"/>
      <c r="AQ520" s="30"/>
    </row>
    <row r="521" spans="1:43">
      <c r="A521" s="34"/>
      <c r="B521" s="34"/>
      <c r="C521" s="38"/>
      <c r="D521" s="31"/>
      <c r="E521" s="38"/>
      <c r="F521" s="38"/>
      <c r="G521" s="38"/>
      <c r="H521" s="29"/>
      <c r="I521" s="19"/>
      <c r="J521" s="19"/>
      <c r="K521" s="19"/>
      <c r="L521" s="19"/>
      <c r="M521" s="91"/>
      <c r="N521" s="110"/>
      <c r="O521" s="111"/>
      <c r="P521" s="23"/>
      <c r="Q521" s="164"/>
      <c r="T521" s="62"/>
      <c r="U521" s="30"/>
      <c r="V521" s="30"/>
      <c r="W521" s="30"/>
      <c r="X521" s="30"/>
      <c r="Y521" s="30"/>
      <c r="Z521" s="30"/>
      <c r="AA521" s="30"/>
      <c r="AB521" s="30"/>
      <c r="AC521" s="30"/>
      <c r="AD521" s="30"/>
      <c r="AE521" s="30"/>
      <c r="AF521" s="30"/>
      <c r="AG521" s="30"/>
      <c r="AH521" s="30"/>
      <c r="AI521" s="30"/>
      <c r="AJ521" s="30"/>
      <c r="AK521" s="30"/>
      <c r="AL521" s="30"/>
      <c r="AM521" s="30"/>
      <c r="AN521" s="30"/>
      <c r="AO521" s="30"/>
      <c r="AP521" s="30"/>
      <c r="AQ521" s="30"/>
    </row>
    <row r="522" spans="1:43">
      <c r="A522" s="34"/>
      <c r="B522" s="34"/>
      <c r="C522" s="123"/>
      <c r="D522" s="29"/>
      <c r="E522" s="67"/>
      <c r="F522" s="123"/>
      <c r="G522" s="29"/>
      <c r="H522" s="29"/>
      <c r="I522" s="19"/>
      <c r="J522" s="19"/>
      <c r="K522" s="19"/>
      <c r="L522" s="19"/>
      <c r="M522" s="91"/>
      <c r="N522" s="110"/>
      <c r="O522" s="111"/>
      <c r="P522" s="23"/>
      <c r="Q522" s="164"/>
      <c r="T522" s="62"/>
      <c r="U522" s="30"/>
      <c r="V522" s="30"/>
      <c r="W522" s="30"/>
      <c r="X522" s="30"/>
      <c r="Y522" s="30"/>
      <c r="Z522" s="30"/>
      <c r="AA522" s="30"/>
      <c r="AB522" s="30"/>
      <c r="AC522" s="30"/>
      <c r="AD522" s="30"/>
      <c r="AE522" s="30"/>
      <c r="AF522" s="30"/>
      <c r="AG522" s="30"/>
      <c r="AH522" s="30"/>
      <c r="AI522" s="30"/>
      <c r="AJ522" s="30"/>
      <c r="AK522" s="30"/>
      <c r="AL522" s="30"/>
      <c r="AM522" s="30"/>
      <c r="AN522" s="30"/>
      <c r="AO522" s="30"/>
      <c r="AP522" s="30"/>
      <c r="AQ522" s="30"/>
    </row>
    <row r="523" spans="1:43">
      <c r="A523" s="34"/>
      <c r="B523" s="34"/>
      <c r="C523" s="34"/>
      <c r="D523" s="29"/>
      <c r="E523" s="38"/>
      <c r="F523" s="38"/>
      <c r="G523" s="38"/>
      <c r="H523" s="29"/>
      <c r="I523" s="19"/>
      <c r="J523" s="19"/>
      <c r="K523" s="19"/>
      <c r="L523" s="19"/>
      <c r="M523" s="91"/>
      <c r="N523" s="110"/>
      <c r="O523" s="111"/>
      <c r="P523" s="23"/>
      <c r="Q523" s="164"/>
      <c r="T523" s="62"/>
      <c r="U523" s="27"/>
      <c r="V523" s="27"/>
      <c r="W523" s="27"/>
      <c r="X523" s="27"/>
      <c r="Y523" s="27"/>
      <c r="Z523" s="27"/>
      <c r="AA523" s="27"/>
      <c r="AB523" s="27"/>
      <c r="AC523" s="27"/>
      <c r="AD523" s="27"/>
      <c r="AE523" s="27"/>
      <c r="AF523" s="27"/>
      <c r="AG523" s="30"/>
      <c r="AH523" s="30"/>
      <c r="AI523" s="30"/>
      <c r="AJ523" s="30"/>
      <c r="AK523" s="30"/>
      <c r="AL523" s="30"/>
      <c r="AM523" s="30"/>
      <c r="AN523" s="30"/>
      <c r="AO523" s="30"/>
      <c r="AP523" s="30"/>
      <c r="AQ523" s="30"/>
    </row>
    <row r="524" spans="1:43">
      <c r="A524" s="34"/>
      <c r="B524" s="34"/>
      <c r="C524" s="123"/>
      <c r="D524" s="29"/>
      <c r="E524" s="38"/>
      <c r="F524" s="38"/>
      <c r="G524" s="38"/>
      <c r="H524" s="29"/>
      <c r="I524" s="19"/>
      <c r="J524" s="19"/>
      <c r="K524" s="19"/>
      <c r="L524" s="19"/>
      <c r="M524" s="91"/>
      <c r="N524" s="110"/>
      <c r="O524" s="111"/>
      <c r="P524" s="23"/>
      <c r="Q524" s="164"/>
      <c r="T524" s="62"/>
      <c r="U524" s="27"/>
      <c r="V524" s="27"/>
      <c r="W524" s="27"/>
      <c r="X524" s="27"/>
      <c r="Y524" s="27"/>
      <c r="Z524" s="27"/>
      <c r="AA524" s="27"/>
      <c r="AB524" s="27"/>
      <c r="AC524" s="27"/>
      <c r="AD524" s="27"/>
      <c r="AE524" s="27"/>
      <c r="AF524" s="27"/>
      <c r="AG524" s="30"/>
      <c r="AH524" s="30"/>
      <c r="AI524" s="30"/>
      <c r="AJ524" s="30"/>
      <c r="AK524" s="30"/>
      <c r="AL524" s="30"/>
      <c r="AM524" s="30"/>
      <c r="AN524" s="30"/>
      <c r="AO524" s="30"/>
      <c r="AP524" s="30"/>
      <c r="AQ524" s="30"/>
    </row>
    <row r="525" spans="1:43">
      <c r="A525" s="34"/>
      <c r="B525" s="34"/>
      <c r="C525" s="38"/>
      <c r="D525" s="29"/>
      <c r="E525" s="38"/>
      <c r="F525" s="38"/>
      <c r="G525" s="38"/>
      <c r="H525" s="29"/>
      <c r="I525" s="19"/>
      <c r="J525" s="19"/>
      <c r="K525" s="19"/>
      <c r="L525" s="126"/>
      <c r="M525" s="91"/>
      <c r="N525" s="110"/>
      <c r="O525" s="111"/>
      <c r="P525" s="23"/>
      <c r="Q525" s="164"/>
      <c r="T525" s="62"/>
      <c r="U525" s="27"/>
      <c r="V525" s="27"/>
      <c r="W525" s="27"/>
      <c r="X525" s="27"/>
      <c r="Y525" s="27"/>
      <c r="Z525" s="27"/>
      <c r="AA525" s="27"/>
      <c r="AB525" s="27"/>
      <c r="AC525" s="27"/>
      <c r="AD525" s="27"/>
      <c r="AE525" s="27"/>
      <c r="AF525" s="27"/>
      <c r="AG525" s="30"/>
      <c r="AH525" s="30"/>
      <c r="AI525" s="30"/>
      <c r="AJ525" s="30"/>
      <c r="AK525" s="30"/>
      <c r="AL525" s="30"/>
      <c r="AM525" s="30"/>
      <c r="AN525" s="30"/>
      <c r="AO525" s="30"/>
      <c r="AP525" s="30"/>
      <c r="AQ525" s="30"/>
    </row>
    <row r="526" spans="1:43">
      <c r="A526" s="34"/>
      <c r="B526" s="34"/>
      <c r="C526" s="38"/>
      <c r="D526" s="29"/>
      <c r="E526" s="38"/>
      <c r="F526" s="38"/>
      <c r="G526" s="38"/>
      <c r="H526" s="29"/>
      <c r="I526" s="19"/>
      <c r="J526" s="19"/>
      <c r="K526" s="19"/>
      <c r="L526" s="19"/>
      <c r="M526" s="91"/>
      <c r="N526" s="110"/>
      <c r="O526" s="111"/>
      <c r="P526" s="23"/>
      <c r="Q526" s="164"/>
      <c r="T526" s="62"/>
      <c r="U526" s="27"/>
      <c r="V526" s="27"/>
      <c r="W526" s="27"/>
      <c r="X526" s="27"/>
      <c r="Y526" s="27"/>
      <c r="Z526" s="27"/>
      <c r="AA526" s="27"/>
      <c r="AB526" s="27"/>
      <c r="AC526" s="27"/>
      <c r="AD526" s="27"/>
      <c r="AE526" s="27"/>
      <c r="AF526" s="27"/>
      <c r="AG526" s="30"/>
      <c r="AH526" s="30"/>
      <c r="AI526" s="30"/>
      <c r="AJ526" s="30"/>
      <c r="AK526" s="30"/>
      <c r="AL526" s="30"/>
      <c r="AM526" s="30"/>
      <c r="AN526" s="30"/>
      <c r="AO526" s="30"/>
      <c r="AP526" s="30"/>
      <c r="AQ526" s="30"/>
    </row>
    <row r="527" spans="1:43">
      <c r="A527" s="34"/>
      <c r="B527" s="34"/>
      <c r="C527" s="34"/>
      <c r="D527" s="29"/>
      <c r="E527" s="67"/>
      <c r="F527" s="38"/>
      <c r="G527" s="29"/>
      <c r="H527" s="29"/>
      <c r="I527" s="19"/>
      <c r="J527" s="19"/>
      <c r="K527" s="19"/>
      <c r="L527" s="19"/>
      <c r="M527" s="91"/>
      <c r="N527" s="110"/>
      <c r="O527" s="111"/>
      <c r="P527" s="23"/>
      <c r="Q527" s="164"/>
      <c r="T527" s="62"/>
      <c r="U527" s="27"/>
      <c r="V527" s="27"/>
      <c r="W527" s="27"/>
      <c r="X527" s="27"/>
      <c r="Y527" s="27"/>
      <c r="Z527" s="27"/>
      <c r="AA527" s="38"/>
      <c r="AB527" s="38"/>
      <c r="AC527" s="27"/>
      <c r="AD527" s="27"/>
      <c r="AE527" s="27"/>
      <c r="AF527" s="27"/>
      <c r="AG527" s="30"/>
      <c r="AH527" s="30"/>
      <c r="AI527" s="30"/>
      <c r="AJ527" s="30"/>
      <c r="AK527" s="30"/>
      <c r="AL527" s="30"/>
      <c r="AM527" s="30"/>
      <c r="AN527" s="30"/>
      <c r="AO527" s="30"/>
      <c r="AP527" s="30"/>
      <c r="AQ527" s="30"/>
    </row>
    <row r="528" spans="1:43">
      <c r="A528" s="34"/>
      <c r="B528" s="34"/>
      <c r="C528" s="106"/>
      <c r="D528" s="29"/>
      <c r="E528" s="34"/>
      <c r="F528" s="29"/>
      <c r="G528" s="29"/>
      <c r="H528" s="29"/>
      <c r="I528" s="19"/>
      <c r="J528" s="19"/>
      <c r="K528" s="19"/>
      <c r="L528" s="23"/>
      <c r="M528" s="91"/>
      <c r="N528" s="110"/>
      <c r="O528" s="111"/>
      <c r="P528" s="23"/>
      <c r="Q528" s="164"/>
      <c r="T528" s="62"/>
      <c r="U528" s="27"/>
      <c r="V528" s="27"/>
      <c r="W528" s="27"/>
      <c r="X528" s="27"/>
      <c r="Y528" s="27"/>
      <c r="Z528" s="27"/>
      <c r="AA528" s="38"/>
      <c r="AB528" s="83"/>
      <c r="AC528" s="27"/>
      <c r="AD528" s="27"/>
      <c r="AE528" s="27"/>
      <c r="AF528" s="27"/>
      <c r="AG528" s="30"/>
      <c r="AH528" s="30"/>
      <c r="AI528" s="30"/>
      <c r="AJ528" s="30"/>
      <c r="AK528" s="30"/>
      <c r="AL528" s="30"/>
      <c r="AM528" s="30"/>
      <c r="AN528" s="30"/>
      <c r="AO528" s="30"/>
      <c r="AP528" s="30"/>
      <c r="AQ528" s="30"/>
    </row>
    <row r="529" spans="1:43">
      <c r="A529" s="34"/>
      <c r="B529" s="34"/>
      <c r="C529" s="67"/>
      <c r="D529" s="29"/>
      <c r="E529" s="34"/>
      <c r="F529" s="29"/>
      <c r="G529" s="29"/>
      <c r="H529" s="29"/>
      <c r="I529" s="19"/>
      <c r="J529" s="19"/>
      <c r="K529" s="19"/>
      <c r="L529" s="19"/>
      <c r="M529" s="91"/>
      <c r="N529" s="110"/>
      <c r="O529" s="111"/>
      <c r="P529" s="23"/>
      <c r="Q529" s="164"/>
      <c r="T529" s="62"/>
      <c r="U529" s="168"/>
      <c r="V529" s="27"/>
      <c r="W529" s="27"/>
      <c r="X529" s="27"/>
      <c r="Y529" s="27"/>
      <c r="Z529" s="27"/>
      <c r="AA529" s="27"/>
      <c r="AB529" s="27"/>
      <c r="AC529" s="27"/>
      <c r="AD529" s="27"/>
      <c r="AE529" s="27"/>
      <c r="AF529" s="27"/>
      <c r="AG529" s="30"/>
      <c r="AH529" s="30"/>
      <c r="AI529" s="30"/>
      <c r="AJ529" s="30"/>
      <c r="AK529" s="30"/>
      <c r="AL529" s="30"/>
      <c r="AM529" s="30"/>
      <c r="AN529" s="30"/>
      <c r="AO529" s="30"/>
      <c r="AP529" s="30"/>
      <c r="AQ529" s="30"/>
    </row>
    <row r="530" spans="1:43">
      <c r="A530" s="34"/>
      <c r="B530" s="34"/>
      <c r="C530" s="38"/>
      <c r="D530" s="29"/>
      <c r="E530" s="29"/>
      <c r="F530" s="29"/>
      <c r="G530" s="29"/>
      <c r="H530" s="29"/>
      <c r="I530" s="19"/>
      <c r="J530" s="19"/>
      <c r="K530" s="19"/>
      <c r="L530" s="19"/>
      <c r="M530" s="91"/>
      <c r="N530" s="110"/>
      <c r="O530" s="111"/>
      <c r="P530" s="23"/>
      <c r="Q530" s="164"/>
      <c r="T530" s="62"/>
      <c r="U530" s="168"/>
      <c r="V530" s="27"/>
      <c r="W530" s="27"/>
      <c r="X530" s="27"/>
      <c r="Y530" s="27"/>
      <c r="Z530" s="27"/>
      <c r="AA530" s="27"/>
      <c r="AB530" s="27"/>
      <c r="AC530" s="27"/>
      <c r="AD530" s="27"/>
      <c r="AE530" s="27"/>
      <c r="AF530" s="27"/>
      <c r="AG530" s="30"/>
      <c r="AH530" s="30"/>
      <c r="AI530" s="30"/>
      <c r="AJ530" s="30"/>
      <c r="AK530" s="30"/>
      <c r="AL530" s="30"/>
      <c r="AM530" s="30"/>
      <c r="AN530" s="30"/>
      <c r="AO530" s="30"/>
      <c r="AP530" s="30"/>
      <c r="AQ530" s="30"/>
    </row>
    <row r="531" spans="1:43">
      <c r="A531" s="34"/>
      <c r="B531" s="34"/>
      <c r="C531" s="38"/>
      <c r="D531" s="29"/>
      <c r="E531" s="29"/>
      <c r="F531" s="29"/>
      <c r="G531" s="29"/>
      <c r="H531" s="29"/>
      <c r="I531" s="19"/>
      <c r="J531" s="19"/>
      <c r="K531" s="19"/>
      <c r="L531" s="19"/>
      <c r="M531" s="160"/>
      <c r="N531" s="110"/>
      <c r="O531" s="111"/>
      <c r="P531" s="23"/>
      <c r="Q531" s="164"/>
      <c r="T531" s="62"/>
      <c r="U531" s="168"/>
      <c r="V531" s="27"/>
      <c r="W531" s="27"/>
      <c r="X531" s="27"/>
      <c r="Y531" s="27"/>
      <c r="Z531" s="27"/>
      <c r="AA531" s="27"/>
      <c r="AB531" s="27"/>
      <c r="AC531" s="27"/>
      <c r="AD531" s="27"/>
      <c r="AE531" s="27"/>
      <c r="AF531" s="27"/>
      <c r="AG531" s="30"/>
      <c r="AH531" s="30"/>
      <c r="AI531" s="30"/>
      <c r="AJ531" s="30"/>
      <c r="AK531" s="30"/>
      <c r="AL531" s="30"/>
      <c r="AM531" s="30"/>
      <c r="AN531" s="30"/>
      <c r="AO531" s="30"/>
      <c r="AP531" s="30"/>
      <c r="AQ531" s="30"/>
    </row>
    <row r="532" spans="1:43">
      <c r="A532" s="34"/>
      <c r="B532" s="34"/>
      <c r="C532" s="34"/>
      <c r="D532" s="29"/>
      <c r="E532" s="29"/>
      <c r="F532" s="29"/>
      <c r="G532" s="29"/>
      <c r="H532" s="29"/>
      <c r="I532" s="19"/>
      <c r="J532" s="19"/>
      <c r="K532" s="19"/>
      <c r="L532" s="19"/>
      <c r="M532" s="160"/>
      <c r="N532" s="110"/>
      <c r="O532" s="111"/>
      <c r="P532" s="23"/>
      <c r="Q532" s="164"/>
      <c r="T532" s="62"/>
      <c r="U532" s="169"/>
      <c r="V532" s="27"/>
      <c r="W532" s="27"/>
      <c r="X532" s="27"/>
      <c r="Y532" s="27"/>
      <c r="Z532" s="27"/>
      <c r="AA532" s="27"/>
      <c r="AB532" s="27"/>
      <c r="AC532" s="27"/>
      <c r="AD532" s="27"/>
      <c r="AE532" s="27"/>
      <c r="AF532" s="27"/>
      <c r="AG532" s="30"/>
      <c r="AH532" s="30"/>
      <c r="AI532" s="30"/>
      <c r="AJ532" s="30"/>
      <c r="AK532" s="30"/>
      <c r="AL532" s="30"/>
      <c r="AM532" s="30"/>
      <c r="AN532" s="30"/>
      <c r="AO532" s="30"/>
      <c r="AP532" s="30"/>
      <c r="AQ532" s="30"/>
    </row>
    <row r="533" spans="1:43">
      <c r="A533" s="34"/>
      <c r="B533" s="34"/>
      <c r="C533" s="38"/>
      <c r="D533" s="38"/>
      <c r="E533" s="38"/>
      <c r="F533" s="38"/>
      <c r="G533" s="38"/>
      <c r="H533" s="38"/>
      <c r="I533" s="19"/>
      <c r="J533" s="19"/>
      <c r="K533" s="19"/>
      <c r="L533" s="19"/>
      <c r="M533" s="91"/>
      <c r="N533" s="110"/>
      <c r="O533" s="111"/>
      <c r="P533" s="23"/>
      <c r="Q533" s="164"/>
      <c r="T533" s="62"/>
      <c r="U533" s="169"/>
      <c r="V533" s="27"/>
      <c r="W533" s="27"/>
      <c r="X533" s="27"/>
      <c r="Y533" s="27"/>
      <c r="Z533" s="27"/>
      <c r="AA533" s="27"/>
      <c r="AB533" s="27"/>
      <c r="AC533" s="27"/>
      <c r="AD533" s="27"/>
      <c r="AE533" s="27"/>
      <c r="AF533" s="27"/>
      <c r="AG533" s="134"/>
      <c r="AH533" s="30"/>
      <c r="AI533" s="30"/>
      <c r="AJ533" s="30"/>
      <c r="AK533" s="30"/>
      <c r="AL533" s="30"/>
      <c r="AM533" s="30"/>
      <c r="AN533" s="30"/>
      <c r="AO533" s="30"/>
      <c r="AP533" s="30"/>
      <c r="AQ533" s="30"/>
    </row>
    <row r="534" spans="1:43">
      <c r="A534" s="34"/>
      <c r="B534" s="34"/>
      <c r="C534" s="38"/>
      <c r="D534" s="123"/>
      <c r="E534" s="123"/>
      <c r="F534" s="123"/>
      <c r="G534" s="118"/>
      <c r="H534" s="135"/>
      <c r="I534" s="19"/>
      <c r="J534" s="19"/>
      <c r="K534" s="19"/>
      <c r="L534" s="19"/>
      <c r="M534" s="91"/>
      <c r="N534" s="110"/>
      <c r="O534" s="111"/>
      <c r="P534" s="23"/>
      <c r="Q534" s="164"/>
      <c r="T534" s="62"/>
      <c r="U534" s="27"/>
      <c r="V534" s="27"/>
      <c r="W534" s="27"/>
      <c r="X534" s="27"/>
      <c r="Y534" s="27"/>
      <c r="Z534" s="27"/>
      <c r="AA534" s="27"/>
      <c r="AB534" s="27"/>
      <c r="AC534" s="27"/>
      <c r="AD534" s="27"/>
      <c r="AE534" s="27"/>
      <c r="AF534" s="27"/>
      <c r="AG534" s="134"/>
      <c r="AH534" s="30"/>
      <c r="AI534" s="30"/>
      <c r="AJ534" s="30"/>
      <c r="AK534" s="30"/>
      <c r="AL534" s="30"/>
      <c r="AM534" s="30"/>
      <c r="AN534" s="30"/>
      <c r="AO534" s="30"/>
      <c r="AP534" s="30"/>
      <c r="AQ534" s="30"/>
    </row>
    <row r="535" spans="1:43">
      <c r="A535" s="34"/>
      <c r="B535" s="34"/>
      <c r="C535" s="38"/>
      <c r="D535" s="123"/>
      <c r="E535" s="123"/>
      <c r="F535" s="123"/>
      <c r="G535" s="118"/>
      <c r="H535" s="135"/>
      <c r="I535" s="19"/>
      <c r="J535" s="19"/>
      <c r="K535" s="19"/>
      <c r="L535" s="19"/>
      <c r="M535" s="91"/>
      <c r="N535" s="110"/>
      <c r="O535" s="111"/>
      <c r="P535" s="23"/>
      <c r="Q535" s="164"/>
      <c r="T535" s="62"/>
      <c r="U535" s="27"/>
      <c r="V535" s="27"/>
      <c r="W535" s="27"/>
      <c r="X535" s="27"/>
      <c r="Y535" s="27"/>
      <c r="Z535" s="27"/>
      <c r="AA535" s="27"/>
      <c r="AB535" s="27"/>
      <c r="AC535" s="27"/>
      <c r="AD535" s="27"/>
      <c r="AE535" s="27"/>
      <c r="AF535" s="27"/>
      <c r="AG535" s="134"/>
      <c r="AH535" s="30"/>
      <c r="AI535" s="30"/>
      <c r="AJ535" s="30"/>
      <c r="AK535" s="30"/>
      <c r="AL535" s="30"/>
      <c r="AM535" s="30"/>
      <c r="AN535" s="30"/>
      <c r="AO535" s="30"/>
      <c r="AP535" s="30"/>
      <c r="AQ535" s="30"/>
    </row>
    <row r="536" spans="1:43">
      <c r="A536" s="34"/>
      <c r="B536" s="34"/>
      <c r="C536" s="38"/>
      <c r="D536" s="123"/>
      <c r="E536" s="123"/>
      <c r="F536" s="123"/>
      <c r="G536" s="118"/>
      <c r="H536" s="135"/>
      <c r="I536" s="19"/>
      <c r="J536" s="19"/>
      <c r="K536" s="19"/>
      <c r="L536" s="19"/>
      <c r="M536" s="91"/>
      <c r="N536" s="110"/>
      <c r="O536" s="111"/>
      <c r="P536" s="23"/>
      <c r="Q536" s="164"/>
      <c r="T536" s="62"/>
      <c r="U536" s="27"/>
      <c r="V536" s="27"/>
      <c r="W536" s="27"/>
      <c r="X536" s="27"/>
      <c r="Y536" s="27"/>
      <c r="Z536" s="27"/>
      <c r="AA536" s="27"/>
      <c r="AB536" s="27"/>
      <c r="AC536" s="27"/>
      <c r="AD536" s="27"/>
      <c r="AE536" s="27"/>
      <c r="AF536" s="27"/>
      <c r="AG536" s="134"/>
      <c r="AH536" s="30"/>
      <c r="AI536" s="30"/>
      <c r="AJ536" s="30"/>
      <c r="AK536" s="30"/>
      <c r="AL536" s="30"/>
      <c r="AM536" s="30"/>
      <c r="AN536" s="30"/>
      <c r="AO536" s="30"/>
      <c r="AP536" s="30"/>
      <c r="AQ536" s="30"/>
    </row>
    <row r="537" spans="1:43">
      <c r="A537" s="34"/>
      <c r="B537" s="34"/>
      <c r="C537" s="27"/>
      <c r="D537" s="27"/>
      <c r="E537" s="27"/>
      <c r="F537" s="27"/>
      <c r="G537" s="27"/>
      <c r="H537" s="27"/>
      <c r="I537" s="19"/>
      <c r="J537" s="19"/>
      <c r="K537" s="19"/>
      <c r="L537" s="19"/>
      <c r="M537" s="91"/>
      <c r="N537" s="110"/>
      <c r="O537" s="111"/>
      <c r="P537" s="23"/>
      <c r="Q537" s="164"/>
      <c r="T537" s="62"/>
      <c r="U537" s="27"/>
      <c r="V537" s="27"/>
      <c r="W537" s="27"/>
      <c r="X537" s="27"/>
      <c r="Y537" s="27"/>
      <c r="Z537" s="27"/>
      <c r="AA537" s="27"/>
      <c r="AB537" s="27"/>
      <c r="AC537" s="27"/>
      <c r="AD537" s="27"/>
      <c r="AE537" s="27"/>
      <c r="AF537" s="27"/>
      <c r="AG537" s="134"/>
      <c r="AH537" s="30"/>
      <c r="AI537" s="30"/>
      <c r="AJ537" s="30"/>
      <c r="AK537" s="30"/>
      <c r="AL537" s="30"/>
      <c r="AM537" s="30"/>
      <c r="AN537" s="30"/>
      <c r="AO537" s="30"/>
      <c r="AP537" s="30"/>
      <c r="AQ537" s="30"/>
    </row>
    <row r="538" spans="1:43">
      <c r="A538" s="34"/>
      <c r="B538" s="34"/>
      <c r="C538" s="27"/>
      <c r="D538" s="27"/>
      <c r="E538" s="27"/>
      <c r="F538" s="27"/>
      <c r="G538" s="27"/>
      <c r="H538" s="27"/>
      <c r="I538" s="19"/>
      <c r="J538" s="19"/>
      <c r="K538" s="19"/>
      <c r="L538" s="19"/>
      <c r="M538" s="91"/>
      <c r="N538" s="110"/>
      <c r="O538" s="111"/>
      <c r="P538" s="23"/>
      <c r="Q538" s="164"/>
      <c r="T538" s="62"/>
      <c r="U538" s="168"/>
      <c r="V538" s="27"/>
      <c r="W538" s="27"/>
      <c r="X538" s="27"/>
      <c r="Y538" s="27"/>
      <c r="Z538" s="27"/>
      <c r="AA538" s="27"/>
      <c r="AB538" s="27"/>
      <c r="AC538" s="27"/>
      <c r="AD538" s="27"/>
      <c r="AE538" s="27"/>
      <c r="AF538" s="27"/>
      <c r="AG538" s="134"/>
      <c r="AH538" s="30"/>
      <c r="AI538" s="30"/>
      <c r="AJ538" s="30"/>
      <c r="AK538" s="30"/>
      <c r="AL538" s="30"/>
      <c r="AM538" s="30"/>
      <c r="AN538" s="30"/>
      <c r="AO538" s="30"/>
      <c r="AP538" s="30"/>
      <c r="AQ538" s="30"/>
    </row>
    <row r="539" spans="1:43">
      <c r="A539" s="34"/>
      <c r="B539" s="34"/>
      <c r="C539" s="136"/>
      <c r="D539" s="27"/>
      <c r="E539" s="131"/>
      <c r="F539" s="27"/>
      <c r="G539" s="136"/>
      <c r="H539" s="27"/>
      <c r="I539" s="19"/>
      <c r="J539" s="19"/>
      <c r="K539" s="19"/>
      <c r="L539" s="19"/>
      <c r="M539" s="91"/>
      <c r="N539" s="110"/>
      <c r="O539" s="111"/>
      <c r="P539" s="23"/>
      <c r="Q539" s="164"/>
      <c r="T539" s="62"/>
      <c r="U539" s="168"/>
      <c r="V539" s="27"/>
      <c r="W539" s="27"/>
      <c r="X539" s="27"/>
      <c r="Y539" s="27"/>
      <c r="Z539" s="27"/>
      <c r="AA539" s="27"/>
      <c r="AB539" s="27"/>
      <c r="AC539" s="27"/>
      <c r="AD539" s="27"/>
      <c r="AE539" s="27"/>
      <c r="AF539" s="27"/>
      <c r="AG539" s="134"/>
      <c r="AH539" s="30"/>
      <c r="AI539" s="30"/>
      <c r="AJ539" s="30"/>
      <c r="AK539" s="30"/>
      <c r="AL539" s="30"/>
      <c r="AM539" s="30"/>
      <c r="AN539" s="30"/>
      <c r="AO539" s="30"/>
      <c r="AP539" s="30"/>
      <c r="AQ539" s="30"/>
    </row>
    <row r="540" spans="1:43">
      <c r="A540" s="34"/>
      <c r="B540" s="34"/>
      <c r="C540" s="27"/>
      <c r="D540" s="27"/>
      <c r="E540" s="131"/>
      <c r="F540" s="27"/>
      <c r="G540" s="27"/>
      <c r="H540" s="27"/>
      <c r="I540" s="19"/>
      <c r="J540" s="19"/>
      <c r="K540" s="19"/>
      <c r="L540" s="19"/>
      <c r="M540" s="91"/>
      <c r="N540" s="110"/>
      <c r="O540" s="111"/>
      <c r="P540" s="23"/>
      <c r="Q540" s="164"/>
      <c r="T540" s="62"/>
      <c r="U540" s="168"/>
      <c r="V540" s="27"/>
      <c r="W540" s="27"/>
      <c r="X540" s="27"/>
      <c r="Y540" s="27"/>
      <c r="Z540" s="27"/>
      <c r="AA540" s="27"/>
      <c r="AB540" s="27"/>
      <c r="AC540" s="27"/>
      <c r="AD540" s="27"/>
      <c r="AE540" s="27"/>
      <c r="AF540" s="27"/>
      <c r="AG540" s="134"/>
      <c r="AH540" s="30"/>
      <c r="AI540" s="30"/>
      <c r="AJ540" s="30"/>
      <c r="AK540" s="30"/>
      <c r="AL540" s="30"/>
      <c r="AM540" s="30"/>
      <c r="AN540" s="30"/>
      <c r="AO540" s="30"/>
      <c r="AP540" s="30"/>
      <c r="AQ540" s="30"/>
    </row>
    <row r="541" spans="1:43">
      <c r="A541" s="34"/>
      <c r="B541" s="34"/>
      <c r="C541" s="27"/>
      <c r="D541" s="27"/>
      <c r="E541" s="27"/>
      <c r="F541" s="27"/>
      <c r="G541" s="27"/>
      <c r="H541" s="27"/>
      <c r="I541" s="19"/>
      <c r="J541" s="19"/>
      <c r="K541" s="19"/>
      <c r="L541" s="19"/>
      <c r="M541" s="91"/>
      <c r="N541" s="110"/>
      <c r="O541" s="111"/>
      <c r="P541" s="23"/>
      <c r="Q541" s="164"/>
      <c r="T541" s="62"/>
      <c r="U541" s="169"/>
      <c r="V541" s="27"/>
      <c r="W541" s="27"/>
      <c r="X541" s="27"/>
      <c r="Y541" s="27"/>
      <c r="Z541" s="27"/>
      <c r="AA541" s="27"/>
      <c r="AB541" s="27"/>
      <c r="AC541" s="27"/>
      <c r="AD541" s="27"/>
      <c r="AE541" s="27"/>
      <c r="AF541" s="27"/>
      <c r="AG541" s="134"/>
      <c r="AH541" s="30"/>
      <c r="AI541" s="30"/>
      <c r="AJ541" s="30"/>
      <c r="AK541" s="30"/>
      <c r="AL541" s="30"/>
      <c r="AM541" s="30"/>
      <c r="AN541" s="30"/>
      <c r="AO541" s="30"/>
      <c r="AP541" s="30"/>
      <c r="AQ541" s="30"/>
    </row>
    <row r="542" spans="1:43">
      <c r="A542" s="34"/>
      <c r="B542" s="34"/>
      <c r="C542" s="117"/>
      <c r="D542" s="27"/>
      <c r="E542" s="27"/>
      <c r="F542" s="27"/>
      <c r="G542" s="117"/>
      <c r="H542" s="27"/>
      <c r="I542" s="19"/>
      <c r="J542" s="19"/>
      <c r="K542" s="19"/>
      <c r="L542" s="19"/>
      <c r="M542" s="91"/>
      <c r="N542" s="110"/>
      <c r="O542" s="111"/>
      <c r="P542" s="23"/>
      <c r="Q542" s="164"/>
      <c r="T542" s="62"/>
      <c r="U542" s="169"/>
      <c r="V542" s="27"/>
      <c r="W542" s="27"/>
      <c r="X542" s="27"/>
      <c r="Y542" s="27"/>
      <c r="Z542" s="27"/>
      <c r="AA542" s="27"/>
      <c r="AB542" s="27"/>
      <c r="AC542" s="27"/>
      <c r="AD542" s="27"/>
      <c r="AE542" s="27"/>
      <c r="AF542" s="27"/>
      <c r="AG542" s="134"/>
      <c r="AH542" s="30"/>
      <c r="AI542" s="30"/>
      <c r="AJ542" s="30"/>
      <c r="AK542" s="30"/>
      <c r="AL542" s="30"/>
      <c r="AM542" s="30"/>
      <c r="AN542" s="30"/>
      <c r="AO542" s="30"/>
      <c r="AP542" s="30"/>
      <c r="AQ542" s="30"/>
    </row>
    <row r="543" spans="1:43">
      <c r="A543" s="34"/>
      <c r="B543" s="34"/>
      <c r="C543" s="117"/>
      <c r="D543" s="27"/>
      <c r="E543" s="38"/>
      <c r="F543" s="38"/>
      <c r="G543" s="38"/>
      <c r="H543" s="27"/>
      <c r="I543" s="19"/>
      <c r="J543" s="19"/>
      <c r="K543" s="19"/>
      <c r="L543" s="19"/>
      <c r="M543" s="91"/>
      <c r="N543" s="110"/>
      <c r="O543" s="111"/>
      <c r="P543" s="23"/>
      <c r="Q543" s="164"/>
      <c r="T543" s="62"/>
      <c r="U543" s="27"/>
      <c r="V543" s="27"/>
      <c r="W543" s="27"/>
      <c r="X543" s="27"/>
      <c r="Y543" s="27"/>
      <c r="Z543" s="27"/>
      <c r="AA543" s="27"/>
      <c r="AB543" s="27"/>
      <c r="AC543" s="27"/>
      <c r="AD543" s="27"/>
      <c r="AE543" s="27"/>
      <c r="AF543" s="27"/>
      <c r="AG543" s="134"/>
      <c r="AH543" s="30"/>
      <c r="AI543" s="30"/>
      <c r="AJ543" s="30"/>
      <c r="AK543" s="30"/>
      <c r="AL543" s="30"/>
      <c r="AM543" s="30"/>
      <c r="AN543" s="30"/>
      <c r="AO543" s="30"/>
      <c r="AP543" s="30"/>
      <c r="AQ543" s="30"/>
    </row>
    <row r="544" spans="1:43">
      <c r="A544" s="34"/>
      <c r="B544" s="34"/>
      <c r="C544" s="117"/>
      <c r="D544" s="27"/>
      <c r="E544" s="38"/>
      <c r="F544" s="38"/>
      <c r="G544" s="38"/>
      <c r="H544" s="27"/>
      <c r="I544" s="19"/>
      <c r="J544" s="19"/>
      <c r="K544" s="19"/>
      <c r="L544" s="19"/>
      <c r="M544" s="91"/>
      <c r="N544" s="110"/>
      <c r="O544" s="111"/>
      <c r="P544" s="23"/>
      <c r="Q544" s="164"/>
      <c r="T544" s="62"/>
      <c r="U544" s="27"/>
      <c r="V544" s="27"/>
      <c r="W544" s="27"/>
      <c r="X544" s="27"/>
      <c r="Y544" s="27"/>
      <c r="Z544" s="27"/>
      <c r="AA544" s="27"/>
      <c r="AB544" s="27"/>
      <c r="AC544" s="27"/>
      <c r="AD544" s="27"/>
      <c r="AE544" s="27"/>
      <c r="AF544" s="27"/>
      <c r="AG544" s="134"/>
      <c r="AH544" s="30"/>
      <c r="AI544" s="30"/>
      <c r="AJ544" s="30"/>
      <c r="AK544" s="30"/>
      <c r="AL544" s="30"/>
      <c r="AM544" s="30"/>
      <c r="AN544" s="30"/>
      <c r="AO544" s="30"/>
      <c r="AP544" s="30"/>
      <c r="AQ544" s="30"/>
    </row>
    <row r="545" spans="1:43">
      <c r="A545" s="27"/>
      <c r="B545" s="27"/>
      <c r="C545" s="27"/>
      <c r="D545" s="117"/>
      <c r="E545" s="117"/>
      <c r="F545" s="122"/>
      <c r="G545" s="27"/>
      <c r="H545" s="27"/>
      <c r="I545" s="19"/>
      <c r="J545" s="19"/>
      <c r="K545" s="19"/>
      <c r="L545" s="19"/>
      <c r="M545" s="91"/>
      <c r="N545" s="110"/>
      <c r="O545" s="111"/>
      <c r="P545" s="23"/>
      <c r="Q545" s="164"/>
      <c r="T545" s="62"/>
      <c r="U545" s="27"/>
      <c r="V545" s="27"/>
      <c r="W545" s="27"/>
      <c r="X545" s="27"/>
      <c r="Y545" s="27"/>
      <c r="Z545" s="27"/>
      <c r="AA545" s="27"/>
      <c r="AB545" s="27"/>
      <c r="AC545" s="27"/>
      <c r="AD545" s="27"/>
      <c r="AE545" s="27"/>
      <c r="AF545" s="27"/>
      <c r="AG545" s="134"/>
      <c r="AH545" s="30"/>
      <c r="AI545" s="30"/>
      <c r="AJ545" s="30"/>
      <c r="AK545" s="30"/>
      <c r="AL545" s="30"/>
      <c r="AM545" s="30"/>
      <c r="AN545" s="30"/>
      <c r="AO545" s="30"/>
      <c r="AP545" s="30"/>
      <c r="AQ545" s="30"/>
    </row>
    <row r="546" spans="1:43">
      <c r="A546" s="27"/>
      <c r="B546" s="27"/>
      <c r="C546" s="27"/>
      <c r="D546" s="27"/>
      <c r="E546" s="27"/>
      <c r="F546" s="27"/>
      <c r="G546" s="27"/>
      <c r="H546" s="27"/>
      <c r="I546" s="19"/>
      <c r="J546" s="19"/>
      <c r="K546" s="19"/>
      <c r="L546" s="19"/>
      <c r="M546" s="91"/>
      <c r="N546" s="110"/>
      <c r="O546" s="111"/>
      <c r="P546" s="23"/>
      <c r="Q546" s="164"/>
      <c r="T546" s="62"/>
      <c r="U546" s="27"/>
      <c r="V546" s="27"/>
      <c r="W546" s="27"/>
      <c r="X546" s="27"/>
      <c r="Y546" s="27"/>
      <c r="Z546" s="27"/>
      <c r="AA546" s="27"/>
      <c r="AB546" s="27"/>
      <c r="AC546" s="27"/>
      <c r="AD546" s="27"/>
      <c r="AE546" s="27"/>
      <c r="AF546" s="27"/>
      <c r="AG546" s="134"/>
      <c r="AH546" s="30"/>
      <c r="AI546" s="30"/>
      <c r="AJ546" s="30"/>
      <c r="AK546" s="30"/>
      <c r="AL546" s="30"/>
      <c r="AM546" s="30"/>
      <c r="AN546" s="30"/>
      <c r="AO546" s="30"/>
      <c r="AP546" s="30"/>
      <c r="AQ546" s="30"/>
    </row>
    <row r="547" spans="1:43">
      <c r="A547" s="27"/>
      <c r="B547" s="27"/>
      <c r="C547" s="27"/>
      <c r="D547" s="27"/>
      <c r="E547" s="27"/>
      <c r="F547" s="27"/>
      <c r="G547" s="27"/>
      <c r="H547" s="27"/>
      <c r="I547" s="19"/>
      <c r="J547" s="19"/>
      <c r="K547" s="19"/>
      <c r="L547" s="19"/>
      <c r="M547" s="91"/>
      <c r="N547" s="110"/>
      <c r="O547" s="111"/>
      <c r="P547" s="23"/>
      <c r="Q547" s="164"/>
      <c r="T547" s="62"/>
      <c r="U547" s="27"/>
      <c r="V547" s="27"/>
      <c r="W547" s="27"/>
      <c r="X547" s="27"/>
      <c r="Y547" s="27"/>
      <c r="Z547" s="27"/>
      <c r="AA547" s="27"/>
      <c r="AB547" s="27"/>
      <c r="AC547" s="27"/>
      <c r="AD547" s="27"/>
      <c r="AE547" s="27"/>
      <c r="AF547" s="27"/>
      <c r="AG547" s="134"/>
      <c r="AH547" s="30"/>
      <c r="AI547" s="30"/>
      <c r="AJ547" s="30"/>
      <c r="AK547" s="30"/>
      <c r="AL547" s="30"/>
      <c r="AM547" s="30"/>
      <c r="AN547" s="30"/>
      <c r="AO547" s="30"/>
      <c r="AP547" s="30"/>
      <c r="AQ547" s="30"/>
    </row>
    <row r="548" spans="1:43">
      <c r="A548" s="27"/>
      <c r="B548" s="27"/>
      <c r="C548" s="27"/>
      <c r="D548" s="27"/>
      <c r="E548" s="27"/>
      <c r="F548" s="27"/>
      <c r="G548" s="27"/>
      <c r="H548" s="27"/>
      <c r="I548" s="19"/>
      <c r="J548" s="19"/>
      <c r="K548" s="19"/>
      <c r="L548" s="19"/>
      <c r="M548" s="91"/>
      <c r="N548" s="110"/>
      <c r="O548" s="111"/>
      <c r="P548" s="23"/>
      <c r="Q548" s="164"/>
      <c r="T548" s="62"/>
      <c r="U548" s="27"/>
      <c r="V548" s="27"/>
      <c r="W548" s="27"/>
      <c r="X548" s="27"/>
      <c r="Y548" s="27"/>
      <c r="Z548" s="27"/>
      <c r="AA548" s="27"/>
      <c r="AB548" s="27"/>
      <c r="AC548" s="27"/>
      <c r="AD548" s="27"/>
      <c r="AE548" s="27"/>
      <c r="AF548" s="27"/>
      <c r="AG548" s="134"/>
      <c r="AH548" s="30"/>
      <c r="AI548" s="30"/>
      <c r="AJ548" s="30"/>
      <c r="AK548" s="30"/>
      <c r="AL548" s="30"/>
      <c r="AM548" s="30"/>
      <c r="AN548" s="30"/>
      <c r="AO548" s="30"/>
      <c r="AP548" s="30"/>
      <c r="AQ548" s="30"/>
    </row>
    <row r="549" spans="1:43">
      <c r="A549" s="27"/>
      <c r="B549" s="27"/>
      <c r="C549" s="27"/>
      <c r="D549" s="27"/>
      <c r="E549" s="27"/>
      <c r="F549" s="27"/>
      <c r="G549" s="27"/>
      <c r="H549" s="27"/>
      <c r="I549" s="19"/>
      <c r="J549" s="19"/>
      <c r="K549" s="19"/>
      <c r="L549" s="19"/>
      <c r="M549" s="91"/>
      <c r="N549" s="110"/>
      <c r="O549" s="111"/>
      <c r="P549" s="23"/>
      <c r="Q549" s="164"/>
      <c r="T549" s="62"/>
      <c r="U549" s="30"/>
      <c r="V549" s="30"/>
      <c r="W549" s="30"/>
      <c r="X549" s="30"/>
      <c r="Y549" s="30"/>
      <c r="Z549" s="30"/>
      <c r="AA549" s="30"/>
      <c r="AB549" s="30"/>
      <c r="AC549" s="30"/>
      <c r="AD549" s="30"/>
      <c r="AE549" s="30"/>
      <c r="AF549" s="30"/>
      <c r="AG549" s="134"/>
      <c r="AH549" s="30"/>
      <c r="AI549" s="30"/>
      <c r="AJ549" s="30"/>
      <c r="AK549" s="30"/>
      <c r="AL549" s="30"/>
      <c r="AM549" s="30"/>
      <c r="AN549" s="30"/>
      <c r="AO549" s="30"/>
      <c r="AP549" s="30"/>
      <c r="AQ549" s="30"/>
    </row>
    <row r="550" spans="1:43">
      <c r="A550" s="27"/>
      <c r="B550" s="27"/>
      <c r="C550" s="27"/>
      <c r="D550" s="27"/>
      <c r="E550" s="27"/>
      <c r="F550" s="27"/>
      <c r="G550" s="27"/>
      <c r="H550" s="27"/>
      <c r="I550" s="19"/>
      <c r="J550" s="19"/>
      <c r="K550" s="19"/>
      <c r="L550" s="19"/>
      <c r="M550" s="91"/>
      <c r="N550" s="110"/>
      <c r="O550" s="111"/>
      <c r="P550" s="23"/>
      <c r="Q550" s="164"/>
      <c r="T550" s="62"/>
      <c r="U550" s="30"/>
      <c r="V550" s="30"/>
      <c r="W550" s="30"/>
      <c r="X550" s="30"/>
      <c r="Y550" s="30"/>
      <c r="Z550" s="30"/>
      <c r="AA550" s="30"/>
      <c r="AB550" s="30"/>
      <c r="AC550" s="30"/>
      <c r="AD550" s="30"/>
      <c r="AE550" s="30"/>
      <c r="AF550" s="30"/>
      <c r="AG550" s="134"/>
      <c r="AH550" s="30"/>
      <c r="AI550" s="30"/>
      <c r="AJ550" s="30"/>
      <c r="AK550" s="30"/>
      <c r="AL550" s="30"/>
      <c r="AM550" s="30"/>
      <c r="AN550" s="30"/>
      <c r="AO550" s="30"/>
      <c r="AP550" s="30"/>
      <c r="AQ550" s="30"/>
    </row>
    <row r="551" spans="1:43">
      <c r="A551" s="27"/>
      <c r="B551" s="27"/>
      <c r="C551" s="27"/>
      <c r="D551" s="27"/>
      <c r="E551" s="27"/>
      <c r="F551" s="27"/>
      <c r="G551" s="27"/>
      <c r="H551" s="27"/>
      <c r="I551" s="23"/>
      <c r="J551" s="19"/>
      <c r="K551" s="19"/>
      <c r="L551" s="23"/>
      <c r="M551" s="91"/>
      <c r="N551" s="110"/>
      <c r="O551" s="111"/>
      <c r="P551" s="23"/>
      <c r="Q551" s="164"/>
      <c r="T551" s="62"/>
      <c r="U551" s="30"/>
      <c r="V551" s="30"/>
      <c r="W551" s="30"/>
      <c r="X551" s="30"/>
      <c r="Y551" s="30"/>
      <c r="Z551" s="30"/>
      <c r="AA551" s="30"/>
      <c r="AB551" s="30"/>
      <c r="AC551" s="30"/>
      <c r="AD551" s="30"/>
      <c r="AE551" s="30"/>
      <c r="AF551" s="30"/>
      <c r="AG551" s="134"/>
      <c r="AH551" s="30"/>
      <c r="AI551" s="30"/>
      <c r="AJ551" s="30"/>
      <c r="AK551" s="30"/>
      <c r="AL551" s="30"/>
      <c r="AM551" s="30"/>
      <c r="AN551" s="30"/>
      <c r="AO551" s="30"/>
      <c r="AP551" s="30"/>
      <c r="AQ551" s="30"/>
    </row>
    <row r="552" spans="1:43">
      <c r="A552" s="27"/>
      <c r="B552" s="27"/>
      <c r="C552" s="27"/>
      <c r="D552" s="27"/>
      <c r="E552" s="27"/>
      <c r="F552" s="27"/>
      <c r="G552" s="27"/>
      <c r="H552" s="27"/>
      <c r="I552" s="119"/>
      <c r="J552" s="19"/>
      <c r="K552" s="19"/>
      <c r="L552" s="119"/>
      <c r="M552" s="91"/>
      <c r="N552" s="110"/>
      <c r="O552" s="111"/>
      <c r="P552" s="23"/>
      <c r="Q552" s="164"/>
      <c r="T552" s="62"/>
      <c r="U552" s="30"/>
      <c r="V552" s="30"/>
      <c r="W552" s="30"/>
      <c r="X552" s="30"/>
      <c r="Y552" s="30"/>
      <c r="Z552" s="30"/>
      <c r="AA552" s="30"/>
      <c r="AB552" s="30"/>
      <c r="AC552" s="30"/>
      <c r="AD552" s="30"/>
      <c r="AE552" s="30"/>
      <c r="AF552" s="30"/>
      <c r="AG552" s="134"/>
      <c r="AH552" s="30"/>
      <c r="AI552" s="30"/>
      <c r="AJ552" s="30"/>
      <c r="AK552" s="30"/>
      <c r="AL552" s="30"/>
      <c r="AM552" s="30"/>
      <c r="AN552" s="30"/>
      <c r="AO552" s="30"/>
      <c r="AP552" s="30"/>
      <c r="AQ552" s="30"/>
    </row>
    <row r="553" spans="1:43">
      <c r="A553" s="27"/>
      <c r="B553" s="27"/>
      <c r="C553" s="27"/>
      <c r="D553" s="27"/>
      <c r="E553" s="27"/>
      <c r="F553" s="27"/>
      <c r="G553" s="27"/>
      <c r="H553" s="27"/>
      <c r="I553" s="119"/>
      <c r="J553" s="19"/>
      <c r="K553" s="19"/>
      <c r="L553" s="119"/>
      <c r="M553" s="91"/>
      <c r="N553" s="110"/>
      <c r="O553" s="111"/>
      <c r="P553" s="23"/>
      <c r="Q553" s="164"/>
      <c r="T553" s="62"/>
      <c r="U553" s="30"/>
      <c r="V553" s="30"/>
      <c r="W553" s="30"/>
      <c r="X553" s="30"/>
      <c r="Y553" s="30"/>
      <c r="Z553" s="30"/>
      <c r="AA553" s="30"/>
      <c r="AB553" s="30"/>
      <c r="AC553" s="30"/>
      <c r="AD553" s="30"/>
      <c r="AE553" s="30"/>
      <c r="AF553" s="30"/>
      <c r="AG553" s="134"/>
      <c r="AH553" s="30"/>
      <c r="AI553" s="30"/>
      <c r="AJ553" s="30"/>
      <c r="AK553" s="30"/>
      <c r="AL553" s="30"/>
      <c r="AM553" s="30"/>
      <c r="AN553" s="30"/>
      <c r="AO553" s="30"/>
      <c r="AP553" s="30"/>
      <c r="AQ553" s="30"/>
    </row>
    <row r="554" spans="1:43" ht="12.75" customHeight="1">
      <c r="A554" s="27"/>
      <c r="B554" s="125"/>
      <c r="C554" s="222" t="str">
        <f>"Plastic Correction for Column Buckling"&amp;" - "&amp;V16</f>
        <v>Plastic Correction for Column Buckling - 7075-T6 (QQ-A-250/12) - 0.040/0.125in</v>
      </c>
      <c r="D554" s="222"/>
      <c r="E554" s="222"/>
      <c r="F554" s="222"/>
      <c r="G554" s="222"/>
      <c r="H554" s="222"/>
      <c r="I554" s="222"/>
      <c r="J554" s="222"/>
      <c r="K554" s="19"/>
      <c r="L554" s="119"/>
      <c r="M554" s="91"/>
      <c r="N554" s="110"/>
      <c r="O554" s="111"/>
      <c r="P554" s="23"/>
      <c r="Q554" s="164"/>
      <c r="T554" s="62"/>
      <c r="U554" s="30"/>
      <c r="V554" s="30"/>
      <c r="W554" s="30"/>
      <c r="X554" s="30"/>
      <c r="Y554" s="30"/>
      <c r="Z554" s="30"/>
      <c r="AA554" s="30"/>
      <c r="AB554" s="30"/>
      <c r="AC554" s="30"/>
      <c r="AD554" s="30"/>
      <c r="AE554" s="30"/>
      <c r="AF554" s="30"/>
      <c r="AG554" s="134"/>
      <c r="AH554" s="30"/>
      <c r="AI554" s="30"/>
      <c r="AJ554" s="30"/>
      <c r="AK554" s="30"/>
      <c r="AL554" s="30"/>
      <c r="AM554" s="30"/>
      <c r="AN554" s="30"/>
      <c r="AO554" s="30"/>
      <c r="AP554" s="30"/>
      <c r="AQ554" s="30"/>
    </row>
    <row r="555" spans="1:43">
      <c r="A555" s="27"/>
      <c r="B555" s="27"/>
      <c r="C555" s="222"/>
      <c r="D555" s="222"/>
      <c r="E555" s="222"/>
      <c r="F555" s="222"/>
      <c r="G555" s="222"/>
      <c r="H555" s="222"/>
      <c r="I555" s="222"/>
      <c r="J555" s="222"/>
      <c r="K555" s="19"/>
      <c r="L555" s="119"/>
      <c r="M555" s="91"/>
      <c r="N555" s="110"/>
      <c r="O555" s="111"/>
      <c r="P555" s="23"/>
      <c r="Q555" s="164"/>
      <c r="T555" s="62"/>
      <c r="U555" s="30"/>
      <c r="V555" s="30"/>
      <c r="W555" s="30"/>
      <c r="X555" s="30"/>
      <c r="Y555" s="30"/>
      <c r="Z555" s="30"/>
      <c r="AA555" s="30"/>
      <c r="AB555" s="30"/>
      <c r="AC555" s="30"/>
      <c r="AD555" s="30"/>
      <c r="AE555" s="30"/>
      <c r="AF555" s="30"/>
      <c r="AG555" s="134"/>
      <c r="AH555" s="30"/>
      <c r="AI555" s="30"/>
      <c r="AJ555" s="30"/>
      <c r="AK555" s="30"/>
      <c r="AL555" s="30"/>
      <c r="AM555" s="30"/>
      <c r="AN555" s="30"/>
      <c r="AO555" s="30"/>
      <c r="AP555" s="30"/>
      <c r="AQ555" s="30"/>
    </row>
    <row r="556" spans="1:43">
      <c r="A556" s="27"/>
      <c r="B556" s="27"/>
      <c r="C556" s="27"/>
      <c r="D556" s="27"/>
      <c r="E556" s="27"/>
      <c r="F556" s="27"/>
      <c r="G556" s="27"/>
      <c r="H556" s="27"/>
      <c r="I556" s="19"/>
      <c r="J556" s="19"/>
      <c r="K556" s="19"/>
      <c r="L556" s="119"/>
      <c r="M556" s="91"/>
      <c r="N556" s="110"/>
      <c r="O556" s="111"/>
      <c r="P556" s="23"/>
      <c r="Q556" s="164"/>
      <c r="T556" s="62"/>
      <c r="U556" s="30"/>
      <c r="V556" s="30"/>
      <c r="W556" s="30"/>
      <c r="X556" s="30"/>
      <c r="Y556" s="30"/>
      <c r="Z556" s="30"/>
      <c r="AA556" s="30"/>
      <c r="AB556" s="30"/>
      <c r="AC556" s="30"/>
      <c r="AD556" s="30"/>
      <c r="AE556" s="30"/>
      <c r="AF556" s="30"/>
      <c r="AG556" s="134"/>
      <c r="AH556" s="30"/>
      <c r="AI556" s="30"/>
      <c r="AJ556" s="30"/>
      <c r="AK556" s="30"/>
      <c r="AL556" s="30"/>
      <c r="AM556" s="30"/>
      <c r="AN556" s="30"/>
      <c r="AO556" s="30"/>
      <c r="AP556" s="30"/>
      <c r="AQ556" s="30"/>
    </row>
    <row r="557" spans="1:43" ht="12.75" customHeight="1">
      <c r="A557" s="27"/>
      <c r="B557" s="221" t="s">
        <v>126</v>
      </c>
      <c r="C557" s="221"/>
      <c r="D557" s="221"/>
      <c r="E557" s="221"/>
      <c r="F557" s="221"/>
      <c r="G557" s="221"/>
      <c r="H557" s="221"/>
      <c r="I557" s="221"/>
      <c r="J557" s="221"/>
      <c r="K557" s="19"/>
      <c r="L557" s="119"/>
      <c r="M557" s="91"/>
      <c r="N557" s="110"/>
      <c r="O557" s="111"/>
      <c r="P557" s="23"/>
      <c r="Q557" s="164"/>
      <c r="T557" s="62"/>
      <c r="U557" s="30"/>
      <c r="V557" s="30"/>
      <c r="W557" s="30"/>
      <c r="X557" s="30"/>
      <c r="Y557" s="30"/>
      <c r="Z557" s="30"/>
      <c r="AA557" s="30"/>
      <c r="AB557" s="30"/>
      <c r="AC557" s="30"/>
      <c r="AD557" s="30"/>
      <c r="AE557" s="30"/>
      <c r="AF557" s="30"/>
      <c r="AG557" s="134"/>
      <c r="AH557" s="30"/>
      <c r="AI557" s="30"/>
      <c r="AJ557" s="30"/>
      <c r="AK557" s="30"/>
      <c r="AL557" s="30"/>
      <c r="AM557" s="30"/>
      <c r="AN557" s="30"/>
      <c r="AO557" s="30"/>
      <c r="AP557" s="30"/>
      <c r="AQ557" s="30"/>
    </row>
    <row r="558" spans="1:43">
      <c r="A558" s="27"/>
      <c r="B558" s="221"/>
      <c r="C558" s="221"/>
      <c r="D558" s="221"/>
      <c r="E558" s="221"/>
      <c r="F558" s="221"/>
      <c r="G558" s="221"/>
      <c r="H558" s="221"/>
      <c r="I558" s="221"/>
      <c r="J558" s="221"/>
      <c r="K558" s="19"/>
      <c r="L558" s="19"/>
      <c r="M558" s="91"/>
      <c r="N558" s="110"/>
      <c r="O558" s="111"/>
      <c r="P558" s="23"/>
      <c r="Q558" s="164"/>
      <c r="T558" s="62"/>
      <c r="U558" s="30"/>
      <c r="V558" s="30"/>
      <c r="W558" s="30"/>
      <c r="X558" s="30"/>
      <c r="Y558" s="30"/>
      <c r="Z558" s="30"/>
      <c r="AA558" s="30"/>
      <c r="AB558" s="30"/>
      <c r="AC558" s="30"/>
      <c r="AD558" s="30"/>
      <c r="AE558" s="30"/>
      <c r="AF558" s="30"/>
      <c r="AG558" s="134"/>
      <c r="AH558" s="30"/>
      <c r="AI558" s="30"/>
      <c r="AJ558" s="30"/>
      <c r="AK558" s="30"/>
      <c r="AL558" s="30"/>
      <c r="AM558" s="30"/>
      <c r="AN558" s="30"/>
      <c r="AO558" s="30"/>
      <c r="AP558" s="30"/>
      <c r="AQ558" s="30"/>
    </row>
    <row r="559" spans="1:43">
      <c r="A559" s="27"/>
      <c r="B559" s="221"/>
      <c r="C559" s="221"/>
      <c r="D559" s="221"/>
      <c r="E559" s="221"/>
      <c r="F559" s="221"/>
      <c r="G559" s="221"/>
      <c r="H559" s="221"/>
      <c r="I559" s="221"/>
      <c r="J559" s="221"/>
      <c r="K559" s="19"/>
      <c r="L559" s="19"/>
      <c r="M559" s="91"/>
      <c r="N559" s="110"/>
      <c r="O559" s="111"/>
      <c r="P559" s="23"/>
      <c r="Q559" s="164"/>
      <c r="T559" s="62"/>
      <c r="U559" s="30"/>
      <c r="V559" s="30"/>
      <c r="W559" s="30"/>
      <c r="X559" s="30"/>
      <c r="Y559" s="30"/>
      <c r="Z559" s="30"/>
      <c r="AA559" s="30"/>
      <c r="AB559" s="30"/>
      <c r="AC559" s="30"/>
      <c r="AD559" s="30"/>
      <c r="AE559" s="30"/>
      <c r="AF559" s="30"/>
      <c r="AG559" s="134"/>
      <c r="AH559" s="30"/>
      <c r="AI559" s="30"/>
      <c r="AJ559" s="30"/>
      <c r="AK559" s="30"/>
      <c r="AL559" s="30"/>
      <c r="AM559" s="30"/>
      <c r="AN559" s="30"/>
      <c r="AO559" s="30"/>
      <c r="AP559" s="30"/>
      <c r="AQ559" s="30"/>
    </row>
    <row r="560" spans="1:43" s="8" customFormat="1">
      <c r="A560" s="38"/>
      <c r="B560" s="221"/>
      <c r="C560" s="221"/>
      <c r="D560" s="221"/>
      <c r="E560" s="221"/>
      <c r="F560" s="221"/>
      <c r="G560" s="221"/>
      <c r="H560" s="221"/>
      <c r="I560" s="221"/>
      <c r="J560" s="221"/>
      <c r="K560" s="23"/>
      <c r="L560" s="23"/>
      <c r="M560" s="111"/>
      <c r="N560" s="110"/>
      <c r="O560" s="111"/>
      <c r="P560" s="23"/>
      <c r="Q560" s="164"/>
      <c r="R560" s="111"/>
      <c r="S560" s="111"/>
      <c r="T560" s="163"/>
      <c r="U560" s="82"/>
      <c r="V560" s="82"/>
      <c r="W560" s="82"/>
      <c r="X560" s="82"/>
      <c r="Y560" s="82"/>
      <c r="Z560" s="82"/>
      <c r="AA560" s="82"/>
      <c r="AB560" s="82"/>
      <c r="AC560" s="82"/>
      <c r="AD560" s="82"/>
      <c r="AE560" s="82"/>
      <c r="AF560" s="30"/>
      <c r="AG560" s="134"/>
      <c r="AH560" s="82"/>
      <c r="AI560" s="82"/>
      <c r="AJ560" s="82"/>
      <c r="AK560" s="82"/>
      <c r="AL560" s="82"/>
      <c r="AM560" s="82"/>
      <c r="AN560" s="82"/>
      <c r="AO560" s="82"/>
      <c r="AP560" s="82"/>
      <c r="AQ560" s="82"/>
    </row>
    <row r="561" spans="1:43" s="8" customFormat="1">
      <c r="A561" s="38"/>
      <c r="B561" s="38"/>
      <c r="C561" s="38"/>
      <c r="D561" s="38"/>
      <c r="E561" s="38"/>
      <c r="F561" s="38"/>
      <c r="G561" s="38"/>
      <c r="H561" s="38"/>
      <c r="I561" s="19"/>
      <c r="J561" s="23"/>
      <c r="K561" s="23"/>
      <c r="L561" s="23"/>
      <c r="M561" s="111"/>
      <c r="N561" s="110"/>
      <c r="O561" s="111"/>
      <c r="P561" s="23"/>
      <c r="Q561" s="164"/>
      <c r="R561" s="111"/>
      <c r="S561" s="111"/>
      <c r="T561" s="163"/>
      <c r="U561" s="82"/>
      <c r="V561" s="82"/>
      <c r="W561" s="82"/>
      <c r="X561" s="82"/>
      <c r="Y561" s="82"/>
      <c r="Z561" s="82"/>
      <c r="AA561" s="82"/>
      <c r="AB561" s="82"/>
      <c r="AC561" s="82"/>
      <c r="AD561" s="82"/>
      <c r="AE561" s="82"/>
      <c r="AF561" s="30"/>
      <c r="AG561" s="134"/>
      <c r="AH561" s="82"/>
      <c r="AI561" s="82"/>
      <c r="AJ561" s="82"/>
      <c r="AK561" s="82"/>
      <c r="AL561" s="82"/>
      <c r="AM561" s="82"/>
      <c r="AN561" s="82"/>
      <c r="AO561" s="82"/>
      <c r="AP561" s="82"/>
      <c r="AQ561" s="82"/>
    </row>
    <row r="562" spans="1:43" s="8" customFormat="1">
      <c r="A562" s="27"/>
      <c r="C562" s="80"/>
      <c r="D562" s="27"/>
      <c r="E562" s="27"/>
      <c r="F562" s="27"/>
      <c r="G562" s="80"/>
      <c r="H562" s="27"/>
      <c r="I562" s="27"/>
      <c r="J562" s="27"/>
      <c r="K562" s="27"/>
      <c r="L562" s="23"/>
      <c r="M562" s="111"/>
      <c r="N562" s="110"/>
      <c r="O562" s="111"/>
      <c r="P562" s="23"/>
      <c r="Q562" s="164"/>
      <c r="R562" s="111"/>
      <c r="S562" s="111"/>
      <c r="T562" s="163"/>
      <c r="U562" s="82"/>
      <c r="V562" s="82"/>
      <c r="W562" s="82"/>
      <c r="X562" s="82"/>
      <c r="Y562" s="82"/>
      <c r="Z562" s="82"/>
      <c r="AA562" s="82"/>
      <c r="AB562" s="82"/>
      <c r="AC562" s="82"/>
      <c r="AD562" s="82"/>
      <c r="AE562" s="82"/>
      <c r="AF562" s="30"/>
      <c r="AG562" s="134"/>
      <c r="AH562" s="82"/>
      <c r="AI562" s="82"/>
      <c r="AJ562" s="82"/>
      <c r="AK562" s="82"/>
      <c r="AL562" s="82"/>
      <c r="AM562" s="82"/>
      <c r="AN562" s="82"/>
      <c r="AO562" s="82"/>
      <c r="AP562" s="82"/>
      <c r="AQ562" s="82"/>
    </row>
    <row r="563" spans="1:43" s="8" customFormat="1">
      <c r="A563" s="27"/>
      <c r="B563" s="193"/>
      <c r="C563" s="80"/>
      <c r="D563" s="28"/>
      <c r="E563" s="28"/>
      <c r="F563" s="194" t="s">
        <v>276</v>
      </c>
      <c r="G563" s="80"/>
      <c r="H563" s="28"/>
      <c r="I563" s="28"/>
      <c r="J563" s="28"/>
      <c r="K563" s="27"/>
      <c r="L563" s="23"/>
      <c r="M563" s="111"/>
      <c r="N563" s="110"/>
      <c r="O563" s="111"/>
      <c r="P563" s="23"/>
      <c r="Q563" s="164"/>
      <c r="R563" s="111"/>
      <c r="S563" s="111"/>
      <c r="T563" s="163"/>
      <c r="U563" s="82"/>
      <c r="V563" s="82"/>
      <c r="W563" s="82"/>
      <c r="X563" s="82"/>
      <c r="Y563" s="82"/>
      <c r="Z563" s="82"/>
      <c r="AA563" s="82"/>
      <c r="AB563" s="82"/>
      <c r="AC563" s="82"/>
      <c r="AD563" s="82"/>
      <c r="AE563" s="82"/>
      <c r="AF563" s="30"/>
      <c r="AG563" s="134"/>
      <c r="AH563" s="82"/>
      <c r="AI563" s="82"/>
      <c r="AJ563" s="82"/>
      <c r="AK563" s="82"/>
      <c r="AL563" s="82"/>
      <c r="AM563" s="82"/>
      <c r="AN563" s="82"/>
      <c r="AO563" s="82"/>
      <c r="AP563" s="82"/>
      <c r="AQ563" s="82"/>
    </row>
    <row r="564" spans="1:43">
      <c r="A564" s="27"/>
      <c r="B564" s="28"/>
      <c r="C564" s="28"/>
      <c r="D564" s="28"/>
      <c r="E564" s="28"/>
      <c r="F564" s="204" t="s">
        <v>292</v>
      </c>
      <c r="G564" s="28"/>
      <c r="H564" s="28"/>
      <c r="I564" s="28"/>
      <c r="J564" s="28"/>
      <c r="K564" s="27"/>
      <c r="L564" s="19"/>
      <c r="M564" s="160"/>
      <c r="N564" s="110"/>
      <c r="O564" s="111"/>
      <c r="P564" s="23"/>
      <c r="Q564" s="164"/>
      <c r="T564" s="62"/>
      <c r="U564" s="30"/>
      <c r="V564" s="30"/>
      <c r="W564" s="30"/>
      <c r="X564" s="30"/>
      <c r="Y564" s="30"/>
      <c r="Z564" s="30"/>
      <c r="AA564" s="30"/>
      <c r="AB564" s="30"/>
      <c r="AC564" s="30"/>
      <c r="AD564" s="30"/>
      <c r="AE564" s="30"/>
      <c r="AF564" s="30"/>
      <c r="AG564" s="30"/>
      <c r="AH564" s="30"/>
      <c r="AI564" s="30"/>
      <c r="AJ564" s="30"/>
      <c r="AK564" s="30"/>
      <c r="AL564" s="30"/>
      <c r="AM564" s="30"/>
      <c r="AN564" s="30"/>
      <c r="AO564" s="30"/>
      <c r="AP564" s="30"/>
      <c r="AQ564" s="30"/>
    </row>
    <row r="565" spans="1:43">
      <c r="A565" s="19"/>
      <c r="B565" s="19"/>
      <c r="C565" s="19"/>
      <c r="D565" s="19"/>
      <c r="E565" s="19"/>
      <c r="F565" s="19"/>
      <c r="G565" s="19"/>
      <c r="H565" s="19"/>
      <c r="I565" s="19"/>
      <c r="J565" s="19"/>
      <c r="K565" s="19"/>
      <c r="L565" s="9"/>
      <c r="M565" s="91"/>
      <c r="N565" s="3"/>
      <c r="Q565" s="165"/>
      <c r="R565" s="10"/>
      <c r="S565" s="10"/>
    </row>
    <row r="566" spans="1:43">
      <c r="A566" s="19"/>
      <c r="B566" s="19"/>
      <c r="C566" s="19"/>
      <c r="D566" s="19"/>
      <c r="E566" s="19"/>
      <c r="F566" s="19"/>
      <c r="G566" s="19"/>
      <c r="H566" s="19"/>
      <c r="I566" s="19"/>
      <c r="J566" s="19"/>
      <c r="K566" s="19"/>
      <c r="L566" s="9"/>
      <c r="M566" s="91"/>
      <c r="N566" s="3"/>
      <c r="Q566" s="165"/>
      <c r="R566" s="10"/>
      <c r="S566" s="10"/>
    </row>
    <row r="567" spans="1:43">
      <c r="A567" s="19"/>
      <c r="B567" s="19"/>
      <c r="C567" s="19"/>
      <c r="D567" s="19"/>
      <c r="E567" s="19"/>
      <c r="F567" s="19"/>
      <c r="G567" s="19"/>
      <c r="H567" s="19"/>
      <c r="I567" s="19"/>
      <c r="J567" s="19"/>
      <c r="K567" s="19"/>
      <c r="L567" s="9"/>
      <c r="M567" s="91"/>
      <c r="N567" s="3"/>
      <c r="Q567" s="165"/>
      <c r="R567" s="10"/>
      <c r="S567" s="10"/>
    </row>
    <row r="568" spans="1:43">
      <c r="A568" s="19"/>
      <c r="B568" s="19"/>
      <c r="C568" s="19"/>
      <c r="D568" s="19"/>
      <c r="E568" s="19"/>
      <c r="F568" s="19"/>
      <c r="G568" s="19"/>
      <c r="H568" s="19"/>
      <c r="I568" s="19"/>
      <c r="J568" s="19"/>
      <c r="K568" s="19"/>
      <c r="L568" s="9"/>
      <c r="M568" s="91"/>
      <c r="N568" s="3"/>
      <c r="Q568" s="165"/>
      <c r="R568" s="10"/>
      <c r="S568" s="10"/>
    </row>
    <row r="569" spans="1:43">
      <c r="A569" s="19"/>
      <c r="B569" s="19"/>
      <c r="C569" s="19"/>
      <c r="D569" s="19"/>
      <c r="E569" s="19"/>
      <c r="F569" s="19"/>
      <c r="G569" s="19"/>
      <c r="H569" s="19"/>
      <c r="I569" s="19"/>
      <c r="J569" s="19"/>
      <c r="K569" s="19"/>
      <c r="L569" s="9"/>
      <c r="M569" s="91"/>
      <c r="N569" s="3"/>
      <c r="Q569" s="165"/>
      <c r="R569" s="10"/>
      <c r="S569" s="10"/>
    </row>
    <row r="570" spans="1:43">
      <c r="A570" s="19"/>
      <c r="B570" s="19"/>
      <c r="C570" s="19"/>
      <c r="D570" s="19"/>
      <c r="E570" s="19"/>
      <c r="F570" s="19"/>
      <c r="G570" s="19"/>
      <c r="H570" s="19"/>
      <c r="I570" s="19"/>
      <c r="J570" s="19"/>
      <c r="K570" s="19"/>
      <c r="L570" s="9"/>
      <c r="M570" s="91"/>
      <c r="N570" s="3"/>
      <c r="Q570" s="165"/>
      <c r="R570" s="10"/>
      <c r="S570" s="10"/>
    </row>
    <row r="571" spans="1:43">
      <c r="A571" s="19"/>
      <c r="B571" s="19"/>
      <c r="C571" s="19"/>
      <c r="D571" s="19"/>
      <c r="E571" s="19"/>
      <c r="F571" s="19"/>
      <c r="G571" s="19"/>
      <c r="H571" s="19"/>
      <c r="I571" s="19"/>
      <c r="J571" s="19"/>
      <c r="K571" s="19"/>
      <c r="L571" s="9"/>
      <c r="M571" s="91"/>
      <c r="N571" s="3"/>
      <c r="Q571" s="165"/>
      <c r="R571" s="10"/>
      <c r="S571" s="10"/>
    </row>
    <row r="572" spans="1:43">
      <c r="A572" s="19"/>
      <c r="B572" s="19"/>
      <c r="C572" s="19"/>
      <c r="D572" s="19"/>
      <c r="E572" s="19"/>
      <c r="F572" s="19"/>
      <c r="G572" s="19"/>
      <c r="H572" s="19"/>
      <c r="I572" s="19"/>
      <c r="J572" s="19"/>
      <c r="K572" s="19"/>
      <c r="L572" s="9"/>
      <c r="M572" s="91"/>
      <c r="N572" s="3"/>
      <c r="Q572" s="165"/>
      <c r="R572" s="10"/>
      <c r="S572" s="10"/>
    </row>
    <row r="573" spans="1:43">
      <c r="A573" s="19"/>
      <c r="B573" s="19"/>
      <c r="C573" s="19"/>
      <c r="D573" s="19"/>
      <c r="E573" s="19"/>
      <c r="F573" s="19"/>
      <c r="G573" s="19"/>
      <c r="H573" s="19"/>
      <c r="I573" s="19"/>
      <c r="J573" s="19"/>
      <c r="K573" s="19"/>
      <c r="L573" s="9"/>
      <c r="M573" s="91"/>
      <c r="N573" s="3"/>
      <c r="Q573" s="165"/>
      <c r="R573" s="10"/>
      <c r="S573" s="10"/>
    </row>
    <row r="574" spans="1:43">
      <c r="A574" s="19"/>
      <c r="B574" s="19"/>
      <c r="C574" s="19"/>
      <c r="D574" s="19"/>
      <c r="E574" s="19"/>
      <c r="F574" s="19"/>
      <c r="G574" s="19"/>
      <c r="H574" s="19"/>
      <c r="I574" s="19"/>
      <c r="J574" s="19"/>
      <c r="K574" s="19"/>
      <c r="L574" s="9"/>
      <c r="M574" s="91"/>
      <c r="N574" s="3"/>
      <c r="Q574" s="165"/>
      <c r="R574" s="10"/>
      <c r="S574" s="10"/>
    </row>
    <row r="575" spans="1:43">
      <c r="A575" s="19"/>
      <c r="B575" s="19"/>
      <c r="C575" s="19"/>
      <c r="D575" s="19"/>
      <c r="E575" s="19"/>
      <c r="F575" s="19"/>
      <c r="G575" s="19"/>
      <c r="H575" s="19"/>
      <c r="I575" s="19"/>
      <c r="J575" s="19"/>
      <c r="K575" s="19"/>
      <c r="L575" s="9"/>
      <c r="M575" s="91"/>
      <c r="N575" s="3"/>
      <c r="Q575" s="165"/>
      <c r="R575" s="10"/>
      <c r="S575" s="10"/>
    </row>
    <row r="576" spans="1:43">
      <c r="A576" s="19"/>
      <c r="B576" s="19"/>
      <c r="C576" s="19"/>
      <c r="D576" s="19"/>
      <c r="E576" s="19"/>
      <c r="F576" s="19"/>
      <c r="G576" s="19"/>
      <c r="H576" s="19"/>
      <c r="I576" s="19"/>
      <c r="J576" s="19"/>
      <c r="K576" s="19"/>
      <c r="L576" s="9"/>
      <c r="M576" s="91"/>
      <c r="N576" s="3"/>
      <c r="Q576" s="165"/>
      <c r="R576" s="10"/>
      <c r="S576" s="10"/>
    </row>
    <row r="577" spans="1:19">
      <c r="A577" s="19"/>
      <c r="B577" s="19"/>
      <c r="C577" s="19"/>
      <c r="D577" s="19"/>
      <c r="E577" s="19"/>
      <c r="F577" s="19"/>
      <c r="G577" s="19"/>
      <c r="H577" s="19"/>
      <c r="I577" s="19"/>
      <c r="J577" s="19"/>
      <c r="K577" s="19"/>
      <c r="L577" s="9"/>
      <c r="M577" s="91"/>
      <c r="N577" s="3"/>
      <c r="Q577" s="165"/>
      <c r="R577" s="10"/>
      <c r="S577" s="10"/>
    </row>
    <row r="578" spans="1:19">
      <c r="A578" s="19"/>
      <c r="B578" s="19"/>
      <c r="C578" s="19"/>
      <c r="D578" s="19"/>
      <c r="E578" s="19"/>
      <c r="F578" s="19"/>
      <c r="G578" s="19"/>
      <c r="H578" s="19"/>
      <c r="I578" s="19"/>
      <c r="J578" s="19"/>
      <c r="K578" s="19"/>
      <c r="L578" s="9"/>
      <c r="M578" s="91"/>
      <c r="N578" s="3"/>
      <c r="Q578" s="165"/>
      <c r="R578" s="10"/>
      <c r="S578" s="10"/>
    </row>
    <row r="579" spans="1:19">
      <c r="A579" s="19"/>
      <c r="B579" s="19"/>
      <c r="C579" s="19"/>
      <c r="D579" s="19"/>
      <c r="E579" s="19"/>
      <c r="F579" s="19"/>
      <c r="G579" s="19"/>
      <c r="H579" s="19"/>
      <c r="I579" s="19"/>
      <c r="J579" s="19"/>
      <c r="K579" s="19"/>
      <c r="L579" s="9"/>
      <c r="M579" s="91"/>
      <c r="N579" s="3"/>
      <c r="Q579" s="165"/>
      <c r="R579" s="10"/>
      <c r="S579" s="10"/>
    </row>
    <row r="580" spans="1:19">
      <c r="A580" s="19"/>
      <c r="B580" s="19"/>
      <c r="C580" s="19"/>
      <c r="D580" s="19"/>
      <c r="E580" s="19"/>
      <c r="F580" s="19"/>
      <c r="G580" s="19"/>
      <c r="H580" s="19"/>
      <c r="I580" s="19"/>
      <c r="J580" s="19"/>
      <c r="K580" s="19"/>
      <c r="L580" s="9"/>
      <c r="M580" s="91"/>
      <c r="N580" s="3"/>
      <c r="Q580" s="165"/>
      <c r="R580" s="10"/>
      <c r="S580" s="10"/>
    </row>
    <row r="581" spans="1:19">
      <c r="A581" s="19"/>
      <c r="B581" s="19"/>
      <c r="C581" s="19"/>
      <c r="D581" s="19"/>
      <c r="E581" s="19"/>
      <c r="F581" s="19"/>
      <c r="G581" s="19"/>
      <c r="H581" s="19"/>
      <c r="I581" s="19"/>
      <c r="J581" s="19"/>
      <c r="K581" s="19"/>
      <c r="L581" s="9"/>
      <c r="M581" s="91"/>
      <c r="N581" s="3"/>
      <c r="Q581" s="165"/>
      <c r="R581" s="10"/>
      <c r="S581" s="10"/>
    </row>
    <row r="582" spans="1:19">
      <c r="A582" s="19"/>
      <c r="B582" s="19"/>
      <c r="C582" s="19"/>
      <c r="D582" s="19"/>
      <c r="E582" s="19"/>
      <c r="F582" s="19"/>
      <c r="G582" s="19"/>
      <c r="H582" s="19"/>
      <c r="I582" s="19"/>
      <c r="J582" s="19"/>
      <c r="K582" s="19"/>
      <c r="L582" s="9"/>
      <c r="M582" s="91"/>
      <c r="N582" s="3"/>
      <c r="Q582" s="165"/>
      <c r="R582" s="10"/>
      <c r="S582" s="10"/>
    </row>
    <row r="583" spans="1:19">
      <c r="A583" s="19"/>
      <c r="B583" s="19"/>
      <c r="C583" s="19"/>
      <c r="D583" s="19"/>
      <c r="E583" s="19"/>
      <c r="F583" s="19"/>
      <c r="G583" s="19"/>
      <c r="H583" s="19"/>
      <c r="I583" s="19"/>
      <c r="J583" s="19"/>
      <c r="K583" s="19"/>
      <c r="L583" s="9"/>
      <c r="M583" s="91"/>
      <c r="N583" s="3"/>
      <c r="Q583" s="165"/>
      <c r="R583" s="10"/>
      <c r="S583" s="10"/>
    </row>
    <row r="584" spans="1:19">
      <c r="A584" s="19"/>
      <c r="B584" s="19"/>
      <c r="C584" s="19"/>
      <c r="D584" s="19"/>
      <c r="E584" s="19"/>
      <c r="F584" s="19"/>
      <c r="G584" s="19"/>
      <c r="H584" s="19"/>
      <c r="I584" s="19"/>
      <c r="J584" s="19"/>
      <c r="K584" s="19"/>
      <c r="L584" s="9"/>
      <c r="M584" s="91"/>
      <c r="N584" s="3"/>
      <c r="Q584" s="165"/>
      <c r="R584" s="10"/>
      <c r="S584" s="10"/>
    </row>
    <row r="585" spans="1:19">
      <c r="A585" s="19"/>
      <c r="B585" s="19"/>
      <c r="C585" s="19"/>
      <c r="D585" s="19"/>
      <c r="E585" s="19"/>
      <c r="F585" s="19"/>
      <c r="G585" s="19"/>
      <c r="H585" s="19"/>
      <c r="I585" s="19"/>
      <c r="J585" s="19"/>
      <c r="K585" s="19"/>
      <c r="L585" s="9"/>
      <c r="M585" s="91"/>
      <c r="N585" s="3"/>
      <c r="Q585" s="165"/>
      <c r="R585" s="10"/>
      <c r="S585" s="10"/>
    </row>
    <row r="586" spans="1:19">
      <c r="A586" s="19"/>
      <c r="B586" s="19"/>
      <c r="C586" s="19"/>
      <c r="D586" s="19"/>
      <c r="E586" s="19"/>
      <c r="F586" s="19"/>
      <c r="G586" s="19"/>
      <c r="H586" s="19"/>
      <c r="I586" s="19"/>
      <c r="J586" s="19"/>
      <c r="K586" s="19"/>
      <c r="L586" s="9"/>
      <c r="M586" s="91"/>
      <c r="N586" s="3"/>
      <c r="Q586" s="165"/>
      <c r="R586" s="10"/>
      <c r="S586" s="10"/>
    </row>
    <row r="587" spans="1:19">
      <c r="A587" s="19"/>
      <c r="B587" s="19"/>
      <c r="C587" s="19"/>
      <c r="D587" s="19"/>
      <c r="E587" s="19"/>
      <c r="F587" s="19"/>
      <c r="G587" s="19"/>
      <c r="H587" s="19"/>
      <c r="I587" s="19"/>
      <c r="J587" s="19"/>
      <c r="K587" s="19"/>
      <c r="L587" s="9"/>
      <c r="M587" s="91"/>
      <c r="N587" s="3"/>
      <c r="Q587" s="165"/>
      <c r="R587" s="10"/>
      <c r="S587" s="10"/>
    </row>
    <row r="588" spans="1:19">
      <c r="A588" s="19"/>
      <c r="B588" s="19"/>
      <c r="C588" s="19"/>
      <c r="D588" s="19"/>
      <c r="E588" s="19"/>
      <c r="F588" s="19"/>
      <c r="G588" s="19"/>
      <c r="H588" s="19"/>
      <c r="I588" s="19"/>
      <c r="J588" s="19"/>
      <c r="K588" s="19"/>
      <c r="L588" s="9"/>
      <c r="M588" s="91"/>
      <c r="N588" s="3"/>
      <c r="Q588" s="165"/>
      <c r="R588" s="10"/>
      <c r="S588" s="10"/>
    </row>
    <row r="589" spans="1:19">
      <c r="A589" s="19"/>
      <c r="B589" s="19"/>
      <c r="C589" s="19"/>
      <c r="D589" s="19"/>
      <c r="E589" s="19"/>
      <c r="F589" s="19"/>
      <c r="G589" s="19"/>
      <c r="H589" s="19"/>
      <c r="I589" s="19"/>
      <c r="J589" s="19"/>
      <c r="K589" s="19"/>
      <c r="L589" s="9"/>
      <c r="M589" s="91"/>
      <c r="N589" s="3"/>
      <c r="Q589" s="165"/>
      <c r="R589" s="10"/>
      <c r="S589" s="10"/>
    </row>
    <row r="590" spans="1:19">
      <c r="A590" s="19"/>
      <c r="B590" s="19"/>
      <c r="C590" s="19"/>
      <c r="D590" s="19"/>
      <c r="E590" s="19"/>
      <c r="F590" s="19"/>
      <c r="G590" s="19"/>
      <c r="H590" s="19"/>
      <c r="I590" s="19"/>
      <c r="J590" s="19"/>
      <c r="K590" s="19"/>
      <c r="L590" s="9"/>
      <c r="M590" s="91"/>
      <c r="N590" s="3"/>
      <c r="Q590" s="165"/>
      <c r="R590" s="10"/>
      <c r="S590" s="10"/>
    </row>
    <row r="591" spans="1:19">
      <c r="A591" s="19"/>
      <c r="B591" s="19"/>
      <c r="C591" s="19"/>
      <c r="D591" s="19"/>
      <c r="E591" s="19"/>
      <c r="F591" s="19"/>
      <c r="G591" s="19"/>
      <c r="H591" s="19"/>
      <c r="I591" s="19"/>
      <c r="J591" s="19"/>
      <c r="K591" s="19"/>
      <c r="L591" s="9"/>
      <c r="M591" s="91"/>
      <c r="N591" s="3"/>
      <c r="Q591" s="165"/>
      <c r="R591" s="10"/>
      <c r="S591" s="10"/>
    </row>
    <row r="592" spans="1:19">
      <c r="A592" s="19"/>
      <c r="B592" s="19"/>
      <c r="C592" s="19"/>
      <c r="D592" s="19"/>
      <c r="E592" s="19"/>
      <c r="F592" s="19"/>
      <c r="G592" s="19"/>
      <c r="H592" s="19"/>
      <c r="I592" s="19"/>
      <c r="J592" s="19"/>
      <c r="K592" s="19"/>
      <c r="L592" s="9"/>
      <c r="M592" s="91"/>
      <c r="N592" s="3"/>
      <c r="Q592" s="165"/>
      <c r="R592" s="10"/>
      <c r="S592" s="10"/>
    </row>
    <row r="593" spans="1:19">
      <c r="A593" s="19"/>
      <c r="B593" s="19"/>
      <c r="C593" s="19"/>
      <c r="D593" s="19"/>
      <c r="E593" s="19"/>
      <c r="F593" s="19"/>
      <c r="G593" s="19"/>
      <c r="H593" s="19"/>
      <c r="I593" s="19"/>
      <c r="J593" s="19"/>
      <c r="K593" s="19"/>
      <c r="L593" s="9"/>
      <c r="M593" s="91"/>
      <c r="N593" s="3"/>
      <c r="Q593" s="165"/>
      <c r="R593" s="10"/>
      <c r="S593" s="10"/>
    </row>
    <row r="594" spans="1:19">
      <c r="A594" s="19"/>
      <c r="B594" s="19"/>
      <c r="C594" s="19"/>
      <c r="D594" s="19"/>
      <c r="E594" s="19"/>
      <c r="F594" s="19"/>
      <c r="G594" s="19"/>
      <c r="H594" s="19"/>
      <c r="I594" s="19"/>
      <c r="J594" s="19"/>
      <c r="K594" s="19"/>
      <c r="L594" s="9"/>
      <c r="M594" s="91"/>
      <c r="N594" s="3"/>
      <c r="Q594" s="165"/>
      <c r="R594" s="10"/>
      <c r="S594" s="10"/>
    </row>
    <row r="595" spans="1:19">
      <c r="A595" s="19"/>
      <c r="B595" s="19"/>
      <c r="C595" s="19"/>
      <c r="D595" s="19"/>
      <c r="E595" s="19"/>
      <c r="F595" s="19"/>
      <c r="G595" s="19"/>
      <c r="H595" s="19"/>
      <c r="I595" s="19"/>
      <c r="J595" s="19"/>
      <c r="K595" s="19"/>
      <c r="L595" s="9"/>
      <c r="M595" s="91"/>
      <c r="N595" s="3"/>
      <c r="Q595" s="165"/>
      <c r="R595" s="10"/>
      <c r="S595" s="10"/>
    </row>
    <row r="596" spans="1:19">
      <c r="A596" s="19"/>
      <c r="B596" s="19"/>
      <c r="C596" s="19"/>
      <c r="D596" s="19"/>
      <c r="E596" s="19"/>
      <c r="F596" s="19"/>
      <c r="G596" s="19"/>
      <c r="H596" s="19"/>
      <c r="I596" s="19"/>
      <c r="J596" s="19"/>
      <c r="K596" s="19"/>
      <c r="L596" s="9"/>
      <c r="M596" s="91"/>
      <c r="N596" s="3"/>
      <c r="Q596" s="165"/>
      <c r="R596" s="10"/>
      <c r="S596" s="10"/>
    </row>
    <row r="597" spans="1:19">
      <c r="A597" s="19"/>
      <c r="B597" s="19"/>
      <c r="C597" s="19"/>
      <c r="D597" s="19"/>
      <c r="E597" s="19"/>
      <c r="F597" s="19"/>
      <c r="G597" s="19"/>
      <c r="H597" s="19"/>
      <c r="I597" s="19"/>
      <c r="J597" s="19"/>
      <c r="K597" s="19"/>
      <c r="L597" s="9"/>
      <c r="M597" s="91"/>
      <c r="N597" s="3"/>
      <c r="Q597" s="165"/>
      <c r="R597" s="10"/>
      <c r="S597" s="10"/>
    </row>
    <row r="598" spans="1:19">
      <c r="A598" s="19"/>
      <c r="B598" s="19"/>
      <c r="C598" s="19"/>
      <c r="D598" s="19"/>
      <c r="E598" s="19"/>
      <c r="F598" s="19"/>
      <c r="G598" s="19"/>
      <c r="H598" s="19"/>
      <c r="I598" s="19"/>
      <c r="J598" s="19"/>
      <c r="K598" s="19"/>
      <c r="L598" s="9"/>
      <c r="M598" s="91"/>
      <c r="N598" s="3"/>
      <c r="Q598" s="165"/>
      <c r="R598" s="10"/>
      <c r="S598" s="10"/>
    </row>
    <row r="599" spans="1:19">
      <c r="A599" s="19"/>
      <c r="B599" s="19"/>
      <c r="C599" s="19"/>
      <c r="D599" s="19"/>
      <c r="E599" s="19"/>
      <c r="F599" s="19"/>
      <c r="G599" s="19"/>
      <c r="H599" s="19"/>
      <c r="I599" s="19"/>
      <c r="J599" s="19"/>
      <c r="K599" s="19"/>
      <c r="L599" s="9"/>
      <c r="M599" s="91"/>
      <c r="N599" s="3"/>
      <c r="Q599" s="165"/>
      <c r="R599" s="10"/>
      <c r="S599" s="10"/>
    </row>
    <row r="600" spans="1:19">
      <c r="A600" s="19"/>
      <c r="B600" s="19"/>
      <c r="C600" s="19"/>
      <c r="D600" s="19"/>
      <c r="E600" s="19"/>
      <c r="F600" s="19"/>
      <c r="G600" s="19"/>
      <c r="H600" s="19"/>
      <c r="I600" s="19"/>
      <c r="J600" s="19"/>
      <c r="K600" s="19"/>
      <c r="L600" s="9"/>
      <c r="M600" s="91"/>
      <c r="N600" s="3"/>
      <c r="Q600" s="165"/>
      <c r="R600" s="10"/>
      <c r="S600" s="10"/>
    </row>
    <row r="601" spans="1:19">
      <c r="A601" s="19"/>
      <c r="B601" s="19"/>
      <c r="C601" s="19"/>
      <c r="D601" s="19"/>
      <c r="E601" s="19"/>
      <c r="F601" s="19"/>
      <c r="G601" s="19"/>
      <c r="H601" s="19"/>
      <c r="I601" s="19"/>
      <c r="J601" s="19"/>
      <c r="K601" s="19"/>
      <c r="L601" s="9"/>
      <c r="M601" s="91"/>
      <c r="N601" s="3"/>
      <c r="Q601" s="165"/>
      <c r="R601" s="10"/>
      <c r="S601" s="10"/>
    </row>
    <row r="602" spans="1:19">
      <c r="A602" s="19"/>
      <c r="B602" s="19"/>
      <c r="C602" s="19"/>
      <c r="D602" s="19"/>
      <c r="E602" s="19"/>
      <c r="F602" s="19"/>
      <c r="G602" s="19"/>
      <c r="H602" s="19"/>
      <c r="I602" s="19"/>
      <c r="J602" s="19"/>
      <c r="K602" s="19"/>
      <c r="L602" s="9"/>
      <c r="M602" s="91"/>
      <c r="N602" s="3"/>
      <c r="Q602" s="165"/>
      <c r="R602" s="10"/>
      <c r="S602" s="10"/>
    </row>
    <row r="603" spans="1:19">
      <c r="A603" s="19"/>
      <c r="B603" s="19"/>
      <c r="C603" s="19"/>
      <c r="D603" s="19"/>
      <c r="E603" s="19"/>
      <c r="F603" s="19"/>
      <c r="G603" s="19"/>
      <c r="H603" s="19"/>
      <c r="I603" s="19"/>
      <c r="J603" s="19"/>
      <c r="K603" s="19"/>
      <c r="L603" s="9"/>
      <c r="M603" s="91"/>
      <c r="N603" s="3"/>
      <c r="Q603" s="165"/>
      <c r="R603" s="10"/>
      <c r="S603" s="10"/>
    </row>
    <row r="604" spans="1:19">
      <c r="A604" s="19"/>
      <c r="B604" s="19"/>
      <c r="C604" s="19"/>
      <c r="D604" s="19"/>
      <c r="E604" s="19"/>
      <c r="F604" s="19"/>
      <c r="G604" s="19"/>
      <c r="H604" s="19"/>
      <c r="I604" s="19"/>
      <c r="J604" s="19"/>
      <c r="K604" s="19"/>
      <c r="L604" s="9"/>
      <c r="M604" s="91"/>
      <c r="N604" s="3"/>
      <c r="Q604" s="165"/>
      <c r="R604" s="10"/>
      <c r="S604" s="10"/>
    </row>
    <row r="605" spans="1:19">
      <c r="A605" s="19"/>
      <c r="B605" s="19"/>
      <c r="C605" s="19"/>
      <c r="D605" s="19"/>
      <c r="E605" s="19"/>
      <c r="F605" s="19"/>
      <c r="G605" s="19"/>
      <c r="H605" s="19"/>
      <c r="I605" s="19"/>
      <c r="J605" s="19"/>
      <c r="K605" s="19"/>
      <c r="L605" s="9"/>
      <c r="M605" s="91"/>
      <c r="N605" s="3"/>
      <c r="Q605" s="165"/>
      <c r="R605" s="10"/>
      <c r="S605" s="10"/>
    </row>
    <row r="606" spans="1:19">
      <c r="A606" s="19"/>
      <c r="B606" s="19"/>
      <c r="C606" s="19"/>
      <c r="D606" s="19"/>
      <c r="E606" s="19"/>
      <c r="F606" s="19"/>
      <c r="G606" s="19"/>
      <c r="H606" s="19"/>
      <c r="I606" s="19"/>
      <c r="J606" s="19"/>
      <c r="K606" s="19"/>
      <c r="L606" s="9"/>
      <c r="M606" s="91"/>
      <c r="N606" s="3"/>
      <c r="Q606" s="165"/>
      <c r="R606" s="10"/>
      <c r="S606" s="10"/>
    </row>
    <row r="607" spans="1:19">
      <c r="A607" s="19"/>
      <c r="B607" s="19"/>
      <c r="C607" s="19"/>
      <c r="D607" s="19"/>
      <c r="E607" s="19"/>
      <c r="F607" s="19"/>
      <c r="G607" s="19"/>
      <c r="H607" s="19"/>
      <c r="I607" s="19"/>
      <c r="J607" s="19"/>
      <c r="K607" s="19"/>
      <c r="L607" s="9"/>
      <c r="M607" s="91"/>
      <c r="N607" s="3"/>
      <c r="Q607" s="165"/>
      <c r="R607" s="10"/>
      <c r="S607" s="10"/>
    </row>
    <row r="608" spans="1:19">
      <c r="A608" s="19"/>
      <c r="B608" s="19"/>
      <c r="C608" s="19"/>
      <c r="D608" s="19"/>
      <c r="E608" s="19"/>
      <c r="F608" s="19"/>
      <c r="G608" s="19"/>
      <c r="H608" s="19"/>
      <c r="I608" s="19"/>
      <c r="J608" s="19"/>
      <c r="K608" s="19"/>
      <c r="L608" s="9"/>
      <c r="M608" s="91"/>
      <c r="N608" s="3"/>
      <c r="Q608" s="165"/>
      <c r="R608" s="10"/>
      <c r="S608" s="10"/>
    </row>
    <row r="609" spans="1:19">
      <c r="A609" s="19"/>
      <c r="B609" s="19"/>
      <c r="C609" s="19"/>
      <c r="D609" s="19"/>
      <c r="E609" s="19"/>
      <c r="F609" s="19"/>
      <c r="G609" s="19"/>
      <c r="H609" s="19"/>
      <c r="I609" s="19"/>
      <c r="J609" s="19"/>
      <c r="K609" s="19"/>
      <c r="L609" s="9"/>
      <c r="M609" s="91"/>
      <c r="N609" s="3"/>
      <c r="Q609" s="165"/>
      <c r="R609" s="10"/>
      <c r="S609" s="10"/>
    </row>
    <row r="610" spans="1:19">
      <c r="A610" s="19"/>
      <c r="B610" s="19"/>
      <c r="C610" s="19"/>
      <c r="D610" s="19"/>
      <c r="E610" s="19"/>
      <c r="F610" s="19"/>
      <c r="G610" s="19"/>
      <c r="H610" s="19"/>
      <c r="I610" s="19"/>
      <c r="J610" s="19"/>
      <c r="K610" s="19"/>
      <c r="L610" s="9"/>
      <c r="M610" s="91"/>
      <c r="N610" s="3"/>
      <c r="Q610" s="165"/>
      <c r="R610" s="10"/>
      <c r="S610" s="10"/>
    </row>
    <row r="611" spans="1:19">
      <c r="A611" s="19"/>
      <c r="B611" s="19"/>
      <c r="C611" s="19"/>
      <c r="D611" s="19"/>
      <c r="E611" s="19"/>
      <c r="F611" s="19"/>
      <c r="G611" s="19"/>
      <c r="H611" s="19"/>
      <c r="I611" s="19"/>
      <c r="J611" s="19"/>
      <c r="K611" s="19"/>
      <c r="L611" s="9"/>
      <c r="M611" s="91"/>
      <c r="N611" s="3"/>
      <c r="Q611" s="165"/>
      <c r="R611" s="10"/>
      <c r="S611" s="10"/>
    </row>
    <row r="612" spans="1:19">
      <c r="A612" s="19"/>
      <c r="B612" s="19"/>
      <c r="C612" s="19"/>
      <c r="D612" s="19"/>
      <c r="E612" s="19"/>
      <c r="F612" s="19"/>
      <c r="G612" s="19"/>
      <c r="H612" s="19"/>
      <c r="I612" s="19"/>
      <c r="J612" s="19"/>
      <c r="K612" s="19"/>
      <c r="L612" s="9"/>
      <c r="M612" s="91"/>
      <c r="N612" s="3"/>
      <c r="Q612" s="165"/>
      <c r="R612" s="10"/>
      <c r="S612" s="10"/>
    </row>
    <row r="613" spans="1:19">
      <c r="A613" s="19"/>
      <c r="B613" s="19"/>
      <c r="C613" s="19"/>
      <c r="D613" s="19"/>
      <c r="E613" s="19"/>
      <c r="F613" s="19"/>
      <c r="G613" s="19"/>
      <c r="H613" s="19"/>
      <c r="I613" s="19"/>
      <c r="J613" s="19"/>
      <c r="K613" s="19"/>
      <c r="L613" s="9"/>
      <c r="M613" s="91"/>
      <c r="N613" s="3"/>
      <c r="Q613" s="165"/>
      <c r="R613" s="10"/>
      <c r="S613" s="10"/>
    </row>
    <row r="614" spans="1:19">
      <c r="A614" s="19"/>
      <c r="B614" s="19"/>
      <c r="C614" s="19"/>
      <c r="D614" s="19"/>
      <c r="E614" s="19"/>
      <c r="F614" s="19"/>
      <c r="G614" s="19"/>
      <c r="H614" s="19"/>
      <c r="I614" s="19"/>
      <c r="J614" s="19"/>
      <c r="K614" s="19"/>
      <c r="L614" s="9"/>
      <c r="M614" s="91"/>
      <c r="N614" s="3"/>
      <c r="Q614" s="165"/>
      <c r="R614" s="10"/>
      <c r="S614" s="10"/>
    </row>
    <row r="615" spans="1:19">
      <c r="A615" s="19"/>
      <c r="B615" s="19"/>
      <c r="C615" s="19"/>
      <c r="D615" s="19"/>
      <c r="E615" s="19"/>
      <c r="F615" s="19"/>
      <c r="G615" s="19"/>
      <c r="H615" s="19"/>
      <c r="I615" s="19"/>
      <c r="J615" s="19"/>
      <c r="K615" s="19"/>
      <c r="L615" s="9"/>
      <c r="M615" s="91"/>
      <c r="N615" s="3"/>
      <c r="Q615" s="165"/>
      <c r="R615" s="10"/>
      <c r="S615" s="10"/>
    </row>
    <row r="616" spans="1:19">
      <c r="A616" s="19"/>
      <c r="B616" s="19"/>
      <c r="C616" s="19"/>
      <c r="D616" s="19"/>
      <c r="E616" s="19"/>
      <c r="F616" s="19"/>
      <c r="G616" s="19"/>
      <c r="H616" s="19"/>
      <c r="I616" s="19"/>
      <c r="J616" s="19"/>
      <c r="K616" s="19"/>
      <c r="L616" s="9"/>
      <c r="M616" s="91"/>
      <c r="N616" s="3"/>
      <c r="Q616" s="165"/>
      <c r="R616" s="10"/>
      <c r="S616" s="10"/>
    </row>
    <row r="617" spans="1:19">
      <c r="A617" s="19"/>
      <c r="B617" s="19"/>
      <c r="C617" s="19"/>
      <c r="D617" s="19"/>
      <c r="E617" s="19"/>
      <c r="F617" s="19"/>
      <c r="G617" s="19"/>
      <c r="H617" s="19"/>
      <c r="I617" s="19"/>
      <c r="J617" s="19"/>
      <c r="K617" s="19"/>
      <c r="L617" s="9"/>
      <c r="M617" s="91"/>
      <c r="N617" s="3"/>
      <c r="Q617" s="165"/>
      <c r="R617" s="10"/>
      <c r="S617" s="10"/>
    </row>
    <row r="618" spans="1:19">
      <c r="A618" s="19"/>
      <c r="B618" s="19"/>
      <c r="C618" s="19"/>
      <c r="D618" s="19"/>
      <c r="E618" s="19"/>
      <c r="F618" s="19"/>
      <c r="G618" s="19"/>
      <c r="H618" s="19"/>
      <c r="I618" s="19"/>
      <c r="J618" s="19"/>
      <c r="K618" s="19"/>
      <c r="L618" s="9"/>
      <c r="M618" s="91"/>
      <c r="N618" s="3"/>
      <c r="Q618" s="165"/>
      <c r="R618" s="10"/>
      <c r="S618" s="10"/>
    </row>
    <row r="619" spans="1:19">
      <c r="A619" s="19"/>
      <c r="B619" s="19"/>
      <c r="C619" s="19"/>
      <c r="D619" s="19"/>
      <c r="E619" s="19"/>
      <c r="F619" s="19"/>
      <c r="G619" s="19"/>
      <c r="H619" s="19"/>
      <c r="I619" s="19"/>
      <c r="J619" s="19"/>
      <c r="K619" s="19"/>
      <c r="L619" s="9"/>
      <c r="M619" s="91"/>
      <c r="N619" s="3"/>
      <c r="Q619" s="165"/>
      <c r="R619" s="10"/>
      <c r="S619" s="10"/>
    </row>
    <row r="620" spans="1:19">
      <c r="A620" s="19"/>
      <c r="B620" s="19"/>
      <c r="C620" s="19"/>
      <c r="D620" s="19"/>
      <c r="E620" s="19"/>
      <c r="F620" s="19"/>
      <c r="G620" s="19"/>
      <c r="H620" s="19"/>
      <c r="I620" s="19"/>
      <c r="J620" s="19"/>
      <c r="K620" s="19"/>
      <c r="L620" s="9"/>
      <c r="M620" s="91"/>
      <c r="N620" s="3"/>
      <c r="Q620" s="165"/>
      <c r="R620" s="10"/>
      <c r="S620" s="10"/>
    </row>
    <row r="621" spans="1:19">
      <c r="A621" s="19"/>
      <c r="B621" s="19"/>
      <c r="C621" s="19"/>
      <c r="D621" s="19"/>
      <c r="E621" s="19"/>
      <c r="F621" s="19"/>
      <c r="G621" s="19"/>
      <c r="H621" s="19"/>
      <c r="I621" s="19"/>
      <c r="J621" s="19"/>
      <c r="K621" s="19"/>
      <c r="L621" s="9"/>
      <c r="M621" s="91"/>
      <c r="N621" s="3"/>
      <c r="Q621" s="165"/>
      <c r="R621" s="10"/>
      <c r="S621" s="10"/>
    </row>
    <row r="622" spans="1:19">
      <c r="A622" s="19"/>
      <c r="B622" s="19"/>
      <c r="C622" s="19"/>
      <c r="D622" s="19"/>
      <c r="E622" s="19"/>
      <c r="F622" s="19"/>
      <c r="G622" s="19"/>
      <c r="H622" s="19"/>
      <c r="I622" s="19"/>
      <c r="J622" s="19"/>
      <c r="K622" s="19"/>
      <c r="L622" s="9"/>
      <c r="M622" s="91"/>
      <c r="N622" s="3"/>
      <c r="Q622" s="165"/>
      <c r="R622" s="10"/>
      <c r="S622" s="10"/>
    </row>
    <row r="623" spans="1:19">
      <c r="A623" s="19"/>
      <c r="B623" s="19"/>
      <c r="C623" s="19"/>
      <c r="D623" s="19"/>
      <c r="E623" s="19"/>
      <c r="F623" s="19"/>
      <c r="G623" s="19"/>
      <c r="H623" s="19"/>
      <c r="I623" s="19"/>
      <c r="J623" s="19"/>
      <c r="K623" s="19"/>
      <c r="L623" s="9"/>
      <c r="M623" s="91"/>
      <c r="N623" s="3"/>
      <c r="Q623" s="165"/>
      <c r="R623" s="10"/>
      <c r="S623" s="10"/>
    </row>
    <row r="624" spans="1:19">
      <c r="A624" s="19"/>
      <c r="B624" s="19"/>
      <c r="C624" s="19"/>
      <c r="D624" s="19"/>
      <c r="E624" s="19"/>
      <c r="F624" s="19"/>
      <c r="G624" s="19"/>
      <c r="H624" s="19"/>
      <c r="I624" s="19"/>
      <c r="J624" s="19"/>
      <c r="K624" s="19"/>
      <c r="L624" s="9"/>
      <c r="M624" s="91"/>
      <c r="N624" s="3"/>
      <c r="Q624" s="165"/>
      <c r="R624" s="10"/>
      <c r="S624" s="10"/>
    </row>
    <row r="625" spans="1:19">
      <c r="A625" s="19"/>
      <c r="B625" s="19"/>
      <c r="C625" s="19"/>
      <c r="D625" s="19"/>
      <c r="E625" s="19"/>
      <c r="F625" s="19"/>
      <c r="G625" s="19"/>
      <c r="H625" s="19"/>
      <c r="I625" s="19"/>
      <c r="J625" s="19"/>
      <c r="K625" s="19"/>
      <c r="L625" s="9"/>
      <c r="M625" s="91"/>
      <c r="N625" s="3"/>
      <c r="Q625" s="165"/>
      <c r="R625" s="10"/>
      <c r="S625" s="10"/>
    </row>
    <row r="626" spans="1:19">
      <c r="A626" s="19"/>
      <c r="B626" s="19"/>
      <c r="C626" s="19"/>
      <c r="D626" s="19"/>
      <c r="E626" s="19"/>
      <c r="F626" s="19"/>
      <c r="G626" s="19"/>
      <c r="H626" s="19"/>
      <c r="I626" s="19"/>
      <c r="J626" s="19"/>
      <c r="K626" s="19"/>
      <c r="L626" s="9"/>
      <c r="M626" s="91"/>
      <c r="N626" s="3"/>
      <c r="Q626" s="165"/>
      <c r="R626" s="10"/>
      <c r="S626" s="10"/>
    </row>
    <row r="627" spans="1:19">
      <c r="A627" s="19"/>
      <c r="B627" s="19"/>
      <c r="C627" s="19"/>
      <c r="D627" s="19"/>
      <c r="E627" s="19"/>
      <c r="F627" s="19"/>
      <c r="G627" s="19"/>
      <c r="H627" s="19"/>
      <c r="I627" s="19"/>
      <c r="J627" s="19"/>
      <c r="K627" s="19"/>
      <c r="L627" s="9"/>
      <c r="M627" s="91"/>
      <c r="N627" s="3"/>
      <c r="Q627" s="165"/>
      <c r="R627" s="10"/>
      <c r="S627" s="10"/>
    </row>
    <row r="628" spans="1:19">
      <c r="A628" s="19"/>
      <c r="B628" s="19"/>
      <c r="C628" s="19"/>
      <c r="D628" s="19"/>
      <c r="E628" s="19"/>
      <c r="F628" s="19"/>
      <c r="G628" s="19"/>
      <c r="H628" s="19"/>
      <c r="I628" s="19"/>
      <c r="J628" s="19"/>
      <c r="K628" s="19"/>
      <c r="L628" s="9"/>
      <c r="M628" s="91"/>
      <c r="N628" s="3"/>
      <c r="Q628" s="165"/>
      <c r="R628" s="10"/>
      <c r="S628" s="10"/>
    </row>
    <row r="629" spans="1:19">
      <c r="A629" s="19"/>
      <c r="B629" s="19"/>
      <c r="C629" s="19"/>
      <c r="D629" s="19"/>
      <c r="E629" s="19"/>
      <c r="F629" s="19"/>
      <c r="G629" s="19"/>
      <c r="H629" s="19"/>
      <c r="I629" s="19"/>
      <c r="J629" s="19"/>
      <c r="K629" s="19"/>
      <c r="L629" s="9"/>
      <c r="M629" s="91"/>
      <c r="N629" s="3"/>
      <c r="Q629" s="165"/>
      <c r="R629" s="10"/>
      <c r="S629" s="10"/>
    </row>
    <row r="630" spans="1:19">
      <c r="A630" s="19"/>
      <c r="B630" s="19"/>
      <c r="C630" s="19"/>
      <c r="D630" s="19"/>
      <c r="E630" s="19"/>
      <c r="F630" s="19"/>
      <c r="G630" s="19"/>
      <c r="H630" s="19"/>
      <c r="I630" s="19"/>
      <c r="J630" s="19"/>
      <c r="K630" s="19"/>
      <c r="L630" s="9"/>
      <c r="M630" s="91"/>
      <c r="N630" s="3"/>
      <c r="Q630" s="165"/>
      <c r="R630" s="10"/>
      <c r="S630" s="10"/>
    </row>
    <row r="631" spans="1:19">
      <c r="A631" s="19"/>
      <c r="B631" s="19"/>
      <c r="C631" s="19"/>
      <c r="D631" s="19"/>
      <c r="E631" s="19"/>
      <c r="F631" s="19"/>
      <c r="G631" s="19"/>
      <c r="H631" s="19"/>
      <c r="I631" s="19"/>
      <c r="J631" s="19"/>
      <c r="K631" s="19"/>
      <c r="L631" s="9"/>
      <c r="M631" s="91"/>
      <c r="N631" s="3"/>
      <c r="Q631" s="165"/>
      <c r="R631" s="10"/>
      <c r="S631" s="10"/>
    </row>
    <row r="632" spans="1:19">
      <c r="A632" s="19"/>
      <c r="B632" s="19"/>
      <c r="C632" s="19"/>
      <c r="D632" s="19"/>
      <c r="E632" s="19"/>
      <c r="F632" s="19"/>
      <c r="G632" s="19"/>
      <c r="H632" s="19"/>
      <c r="I632" s="19"/>
      <c r="J632" s="19"/>
      <c r="K632" s="19"/>
      <c r="L632" s="9"/>
      <c r="M632" s="91"/>
      <c r="N632" s="3"/>
      <c r="Q632" s="165"/>
      <c r="R632" s="10"/>
      <c r="S632" s="10"/>
    </row>
    <row r="633" spans="1:19">
      <c r="A633" s="19"/>
      <c r="B633" s="19"/>
      <c r="C633" s="19"/>
      <c r="D633" s="19"/>
      <c r="E633" s="19"/>
      <c r="F633" s="19"/>
      <c r="G633" s="19"/>
      <c r="H633" s="19"/>
      <c r="I633" s="19"/>
      <c r="J633" s="19"/>
      <c r="K633" s="19"/>
      <c r="L633" s="9"/>
      <c r="M633" s="91"/>
      <c r="N633" s="3"/>
      <c r="Q633" s="165"/>
      <c r="R633" s="10"/>
      <c r="S633" s="10"/>
    </row>
    <row r="634" spans="1:19">
      <c r="A634" s="19"/>
      <c r="B634" s="19"/>
      <c r="C634" s="19"/>
      <c r="D634" s="19"/>
      <c r="E634" s="19"/>
      <c r="F634" s="19"/>
      <c r="G634" s="19"/>
      <c r="H634" s="19"/>
      <c r="I634" s="19"/>
      <c r="J634" s="19"/>
      <c r="K634" s="19"/>
      <c r="L634" s="9"/>
      <c r="M634" s="91"/>
      <c r="N634" s="3"/>
      <c r="Q634" s="165"/>
      <c r="R634" s="10"/>
      <c r="S634" s="10"/>
    </row>
    <row r="635" spans="1:19">
      <c r="A635" s="19"/>
      <c r="B635" s="19"/>
      <c r="C635" s="19"/>
      <c r="D635" s="19"/>
      <c r="E635" s="19"/>
      <c r="F635" s="19"/>
      <c r="G635" s="19"/>
      <c r="H635" s="19"/>
      <c r="I635" s="19"/>
      <c r="J635" s="19"/>
      <c r="K635" s="19"/>
      <c r="L635" s="9"/>
      <c r="M635" s="91"/>
      <c r="N635" s="3"/>
      <c r="Q635" s="165"/>
      <c r="R635" s="10"/>
      <c r="S635" s="10"/>
    </row>
    <row r="636" spans="1:19">
      <c r="A636" s="19"/>
      <c r="B636" s="19"/>
      <c r="C636" s="19"/>
      <c r="D636" s="19"/>
      <c r="E636" s="19"/>
      <c r="F636" s="19"/>
      <c r="G636" s="19"/>
      <c r="H636" s="19"/>
      <c r="I636" s="19"/>
      <c r="J636" s="19"/>
      <c r="K636" s="19"/>
      <c r="L636" s="9"/>
      <c r="M636" s="91"/>
      <c r="N636" s="3"/>
      <c r="Q636" s="165"/>
      <c r="R636" s="10"/>
      <c r="S636" s="10"/>
    </row>
    <row r="637" spans="1:19">
      <c r="A637" s="19"/>
      <c r="B637" s="19"/>
      <c r="C637" s="19"/>
      <c r="D637" s="19"/>
      <c r="E637" s="19"/>
      <c r="F637" s="19"/>
      <c r="G637" s="19"/>
      <c r="H637" s="19"/>
      <c r="I637" s="19"/>
      <c r="J637" s="19"/>
      <c r="K637" s="19"/>
      <c r="L637" s="9"/>
      <c r="M637" s="91"/>
      <c r="N637" s="3"/>
      <c r="Q637" s="165"/>
      <c r="R637" s="10"/>
      <c r="S637" s="10"/>
    </row>
    <row r="638" spans="1:19">
      <c r="A638" s="19"/>
      <c r="B638" s="19"/>
      <c r="C638" s="19"/>
      <c r="D638" s="19"/>
      <c r="E638" s="19"/>
      <c r="F638" s="19"/>
      <c r="G638" s="19"/>
      <c r="H638" s="19"/>
      <c r="I638" s="19"/>
      <c r="J638" s="19"/>
      <c r="K638" s="19"/>
      <c r="L638" s="9"/>
      <c r="M638" s="91"/>
      <c r="N638" s="3"/>
      <c r="Q638" s="165"/>
      <c r="R638" s="10"/>
      <c r="S638" s="10"/>
    </row>
    <row r="639" spans="1:19">
      <c r="A639" s="19"/>
      <c r="B639" s="19"/>
      <c r="C639" s="19"/>
      <c r="D639" s="19"/>
      <c r="E639" s="19"/>
      <c r="F639" s="19"/>
      <c r="G639" s="19"/>
      <c r="H639" s="19"/>
      <c r="I639" s="19"/>
      <c r="J639" s="19"/>
      <c r="K639" s="19"/>
      <c r="L639" s="9"/>
      <c r="M639" s="91"/>
      <c r="N639" s="3"/>
      <c r="Q639" s="165"/>
      <c r="R639" s="10"/>
      <c r="S639" s="10"/>
    </row>
    <row r="640" spans="1:19">
      <c r="A640" s="19"/>
      <c r="B640" s="19"/>
      <c r="C640" s="19"/>
      <c r="D640" s="19"/>
      <c r="E640" s="19"/>
      <c r="F640" s="19"/>
      <c r="G640" s="19"/>
      <c r="H640" s="19"/>
      <c r="I640" s="19"/>
      <c r="J640" s="19"/>
      <c r="K640" s="19"/>
      <c r="L640" s="9"/>
      <c r="M640" s="91"/>
      <c r="N640" s="3"/>
      <c r="Q640" s="165"/>
      <c r="R640" s="10"/>
      <c r="S640" s="10"/>
    </row>
    <row r="641" spans="1:19">
      <c r="A641" s="19"/>
      <c r="B641" s="19"/>
      <c r="C641" s="19"/>
      <c r="D641" s="19"/>
      <c r="E641" s="19"/>
      <c r="F641" s="19"/>
      <c r="G641" s="19"/>
      <c r="H641" s="19"/>
      <c r="I641" s="19"/>
      <c r="J641" s="19"/>
      <c r="K641" s="19"/>
      <c r="L641" s="9"/>
      <c r="M641" s="91"/>
      <c r="N641" s="3"/>
      <c r="Q641" s="165"/>
      <c r="R641" s="10"/>
      <c r="S641" s="10"/>
    </row>
    <row r="642" spans="1:19">
      <c r="A642" s="19"/>
      <c r="B642" s="19"/>
      <c r="C642" s="19"/>
      <c r="D642" s="19"/>
      <c r="E642" s="19"/>
      <c r="F642" s="19"/>
      <c r="G642" s="19"/>
      <c r="H642" s="19"/>
      <c r="I642" s="19"/>
      <c r="J642" s="19"/>
      <c r="K642" s="19"/>
      <c r="L642" s="9"/>
      <c r="M642" s="91"/>
      <c r="N642" s="3"/>
      <c r="Q642" s="165"/>
      <c r="R642" s="10"/>
      <c r="S642" s="10"/>
    </row>
    <row r="643" spans="1:19">
      <c r="A643" s="19"/>
      <c r="B643" s="19"/>
      <c r="C643" s="19"/>
      <c r="D643" s="19"/>
      <c r="E643" s="19"/>
      <c r="F643" s="19"/>
      <c r="G643" s="19"/>
      <c r="H643" s="19"/>
      <c r="I643" s="19"/>
      <c r="J643" s="19"/>
      <c r="K643" s="19"/>
      <c r="L643" s="9"/>
      <c r="M643" s="91"/>
      <c r="N643" s="3"/>
      <c r="Q643" s="165"/>
      <c r="R643" s="10"/>
      <c r="S643" s="10"/>
    </row>
    <row r="644" spans="1:19">
      <c r="A644" s="19"/>
      <c r="B644" s="19"/>
      <c r="C644" s="19"/>
      <c r="D644" s="19"/>
      <c r="E644" s="19"/>
      <c r="F644" s="19"/>
      <c r="G644" s="19"/>
      <c r="H644" s="19"/>
      <c r="I644" s="19"/>
      <c r="J644" s="19"/>
      <c r="K644" s="19"/>
      <c r="L644" s="9"/>
      <c r="M644" s="91"/>
      <c r="N644" s="3"/>
      <c r="Q644" s="165"/>
      <c r="R644" s="10"/>
      <c r="S644" s="10"/>
    </row>
    <row r="645" spans="1:19">
      <c r="A645" s="19"/>
      <c r="B645" s="19"/>
      <c r="C645" s="19"/>
      <c r="D645" s="19"/>
      <c r="E645" s="19"/>
      <c r="F645" s="19"/>
      <c r="G645" s="19"/>
      <c r="H645" s="19"/>
      <c r="I645" s="19"/>
      <c r="J645" s="19"/>
      <c r="K645" s="19"/>
      <c r="L645" s="9"/>
      <c r="M645" s="91"/>
      <c r="N645" s="3"/>
      <c r="Q645" s="165"/>
      <c r="R645" s="10"/>
      <c r="S645" s="10"/>
    </row>
    <row r="646" spans="1:19">
      <c r="A646" s="19"/>
      <c r="B646" s="19"/>
      <c r="C646" s="19"/>
      <c r="D646" s="19"/>
      <c r="E646" s="19"/>
      <c r="F646" s="19"/>
      <c r="G646" s="19"/>
      <c r="H646" s="19"/>
      <c r="I646" s="19"/>
      <c r="J646" s="19"/>
      <c r="K646" s="19"/>
      <c r="L646" s="9"/>
      <c r="M646" s="91"/>
      <c r="N646" s="3"/>
      <c r="Q646" s="165"/>
      <c r="R646" s="10"/>
      <c r="S646" s="10"/>
    </row>
    <row r="647" spans="1:19">
      <c r="A647" s="19"/>
      <c r="B647" s="19"/>
      <c r="C647" s="19"/>
      <c r="D647" s="19"/>
      <c r="E647" s="19"/>
      <c r="F647" s="19"/>
      <c r="G647" s="19"/>
      <c r="H647" s="19"/>
      <c r="I647" s="19"/>
      <c r="J647" s="19"/>
      <c r="K647" s="19"/>
      <c r="L647" s="9"/>
      <c r="M647" s="91"/>
      <c r="N647" s="3"/>
      <c r="Q647" s="165"/>
      <c r="R647" s="10"/>
      <c r="S647" s="10"/>
    </row>
    <row r="648" spans="1:19">
      <c r="A648" s="19"/>
      <c r="B648" s="19"/>
      <c r="C648" s="19"/>
      <c r="D648" s="19"/>
      <c r="E648" s="19"/>
      <c r="F648" s="19"/>
      <c r="G648" s="19"/>
      <c r="H648" s="19"/>
      <c r="I648" s="19"/>
      <c r="J648" s="19"/>
      <c r="K648" s="19"/>
      <c r="L648" s="9"/>
      <c r="M648" s="91"/>
      <c r="N648" s="3"/>
      <c r="Q648" s="165"/>
      <c r="R648" s="10"/>
      <c r="S648" s="10"/>
    </row>
    <row r="649" spans="1:19">
      <c r="A649" s="19"/>
      <c r="B649" s="19"/>
      <c r="C649" s="19"/>
      <c r="D649" s="19"/>
      <c r="E649" s="19"/>
      <c r="F649" s="19"/>
      <c r="G649" s="19"/>
      <c r="H649" s="19"/>
      <c r="I649" s="19"/>
      <c r="J649" s="19"/>
      <c r="K649" s="19"/>
      <c r="L649" s="9"/>
      <c r="M649" s="91"/>
      <c r="N649" s="3"/>
      <c r="Q649" s="165"/>
      <c r="R649" s="10"/>
      <c r="S649" s="10"/>
    </row>
    <row r="650" spans="1:19">
      <c r="A650" s="19"/>
      <c r="B650" s="19"/>
      <c r="C650" s="19"/>
      <c r="D650" s="19"/>
      <c r="E650" s="19"/>
      <c r="F650" s="19"/>
      <c r="G650" s="19"/>
      <c r="H650" s="19"/>
      <c r="I650" s="19"/>
      <c r="J650" s="19"/>
      <c r="K650" s="19"/>
      <c r="L650" s="9"/>
      <c r="M650" s="91"/>
      <c r="N650" s="3"/>
      <c r="Q650" s="165"/>
      <c r="R650" s="10"/>
      <c r="S650" s="10"/>
    </row>
    <row r="651" spans="1:19">
      <c r="A651" s="19"/>
      <c r="B651" s="19"/>
      <c r="C651" s="19"/>
      <c r="D651" s="19"/>
      <c r="E651" s="19"/>
      <c r="F651" s="19"/>
      <c r="G651" s="19"/>
      <c r="H651" s="19"/>
      <c r="I651" s="19"/>
      <c r="J651" s="19"/>
      <c r="K651" s="19"/>
      <c r="L651" s="9"/>
      <c r="M651" s="91"/>
      <c r="N651" s="3"/>
      <c r="Q651" s="165"/>
      <c r="R651" s="10"/>
      <c r="S651" s="10"/>
    </row>
    <row r="652" spans="1:19">
      <c r="A652" s="19"/>
      <c r="B652" s="19"/>
      <c r="C652" s="19"/>
      <c r="D652" s="19"/>
      <c r="E652" s="19"/>
      <c r="F652" s="19"/>
      <c r="G652" s="19"/>
      <c r="H652" s="19"/>
      <c r="I652" s="19"/>
      <c r="J652" s="19"/>
      <c r="K652" s="19"/>
      <c r="L652" s="9"/>
      <c r="M652" s="91"/>
      <c r="N652" s="3"/>
      <c r="Q652" s="165"/>
      <c r="R652" s="10"/>
      <c r="S652" s="10"/>
    </row>
    <row r="653" spans="1:19">
      <c r="A653" s="19"/>
      <c r="B653" s="19"/>
      <c r="C653" s="19"/>
      <c r="D653" s="19"/>
      <c r="E653" s="19"/>
      <c r="F653" s="19"/>
      <c r="G653" s="19"/>
      <c r="H653" s="19"/>
      <c r="I653" s="19"/>
      <c r="J653" s="19"/>
      <c r="K653" s="19"/>
      <c r="L653" s="9"/>
      <c r="M653" s="91"/>
      <c r="N653" s="3"/>
      <c r="Q653" s="165"/>
      <c r="R653" s="10"/>
      <c r="S653" s="10"/>
    </row>
    <row r="654" spans="1:19">
      <c r="L654" s="9"/>
      <c r="M654" s="91"/>
      <c r="N654" s="3"/>
      <c r="Q654" s="165"/>
      <c r="R654" s="10"/>
      <c r="S654" s="10"/>
    </row>
  </sheetData>
  <mergeCells count="23">
    <mergeCell ref="B13:K13"/>
    <mergeCell ref="B517:C517"/>
    <mergeCell ref="B14:C14"/>
    <mergeCell ref="B66:C66"/>
    <mergeCell ref="B122:C122"/>
    <mergeCell ref="B178:C178"/>
    <mergeCell ref="B234:C234"/>
    <mergeCell ref="D15:H15"/>
    <mergeCell ref="B557:J560"/>
    <mergeCell ref="C429:J430"/>
    <mergeCell ref="C318:J319"/>
    <mergeCell ref="C206:J207"/>
    <mergeCell ref="G18:K19"/>
    <mergeCell ref="C46:K47"/>
    <mergeCell ref="H27:K28"/>
    <mergeCell ref="H29:K30"/>
    <mergeCell ref="C554:J555"/>
    <mergeCell ref="B290:C290"/>
    <mergeCell ref="B346:C346"/>
    <mergeCell ref="B402:C402"/>
    <mergeCell ref="B458:C458"/>
    <mergeCell ref="B514:C514"/>
    <mergeCell ref="B460:C460"/>
  </mergeCells>
  <dataValidations count="1">
    <dataValidation type="list" allowBlank="1" showInputMessage="1" showErrorMessage="1" sqref="D15">
      <formula1>MATLIST</formula1>
    </dataValidation>
  </dataValidations>
  <hyperlinks>
    <hyperlink ref="F60" r:id="rId1"/>
    <hyperlink ref="F116" r:id="rId2"/>
    <hyperlink ref="F172" r:id="rId3"/>
    <hyperlink ref="F228" r:id="rId4"/>
    <hyperlink ref="F284" r:id="rId5"/>
    <hyperlink ref="F340" r:id="rId6"/>
    <hyperlink ref="F396" r:id="rId7"/>
    <hyperlink ref="F452" r:id="rId8"/>
    <hyperlink ref="F508" r:id="rId9"/>
    <hyperlink ref="F564" r:id="rId10"/>
    <hyperlink ref="B14:C14" r:id="rId11" display="(MIL-HNDBK-5H, 1998)"/>
    <hyperlink ref="B66:C66" r:id="rId12" display="(MIL-HNDBK-5H, 1998)"/>
    <hyperlink ref="B122:C122" r:id="rId13" display="(MIL-HNDBK-5H, 1998)"/>
    <hyperlink ref="B178:C178" r:id="rId14" display="(MIL-HNDBK-5H, 1998)"/>
    <hyperlink ref="B234:C234" r:id="rId15" display="(MIL-HNDBK-5H, 1998)"/>
    <hyperlink ref="B290:C290" r:id="rId16" display="(MIL-HNDBK-5H, 1998)"/>
    <hyperlink ref="B346:C346" r:id="rId17" display="(MIL-HNDBK-5H, 1998)"/>
    <hyperlink ref="B402:C402" r:id="rId18" display="(MIL-HNDBK-5H, 1998)"/>
    <hyperlink ref="B458:C458" r:id="rId19" display="(MIL-HNDBK-5H, 1998)"/>
    <hyperlink ref="B514:C514" r:id="rId20" display="(MIL-HNDBK-5H, 1998)"/>
    <hyperlink ref="B237" r:id="rId21"/>
    <hyperlink ref="B293" r:id="rId22"/>
    <hyperlink ref="B349" r:id="rId23"/>
    <hyperlink ref="B405" r:id="rId24"/>
    <hyperlink ref="B460:C460" r:id="rId25" display="(AFFDL-TR-69-42, 1986)"/>
    <hyperlink ref="B517:C517" r:id="rId26" display="(AFFDL-TR-69-42, 1986)"/>
    <hyperlink ref="B13:K13" r:id="rId27"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4" orientation="portrait" r:id="rId28"/>
  <rowBreaks count="9" manualBreakCount="9">
    <brk id="60" max="10" man="1"/>
    <brk id="116" max="10" man="1"/>
    <brk id="172" max="10" man="1"/>
    <brk id="228" max="10" man="1"/>
    <brk id="284" max="10" man="1"/>
    <brk id="340" max="10" man="1"/>
    <brk id="396" max="10" man="1"/>
    <brk id="452" max="10" man="1"/>
    <brk id="508" max="10" man="1"/>
  </rowBreaks>
  <drawing r:id="rId29"/>
  <legacyDrawing r:id="rId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dimension ref="A1:BM182"/>
  <sheetViews>
    <sheetView topLeftCell="A7" zoomScale="70" zoomScaleNormal="70" workbookViewId="0">
      <pane ySplit="1104" activePane="bottomLeft"/>
      <selection activeCell="BI4" sqref="BI1:BI1048576"/>
      <selection pane="bottomLeft" activeCell="L179" sqref="L179"/>
    </sheetView>
  </sheetViews>
  <sheetFormatPr defaultColWidth="12.5546875" defaultRowHeight="15.6"/>
  <cols>
    <col min="1" max="1" width="3.44140625" style="173" customWidth="1"/>
    <col min="2" max="2" width="8.6640625" style="173" customWidth="1"/>
    <col min="3" max="3" width="5.88671875" style="175" customWidth="1"/>
    <col min="4" max="4" width="19" style="174" customWidth="1"/>
    <col min="5" max="5" width="9.88671875" style="173" customWidth="1"/>
    <col min="6" max="6" width="8.109375" style="173" customWidth="1"/>
    <col min="7" max="7" width="22.109375" style="173" customWidth="1"/>
    <col min="8" max="8" width="12.5546875" style="173"/>
    <col min="9" max="9" width="15.109375" style="173" customWidth="1"/>
    <col min="10" max="19" width="5.33203125" style="172" customWidth="1"/>
    <col min="20" max="23" width="6.33203125" style="172" customWidth="1"/>
    <col min="24" max="24" width="5.33203125" style="172" customWidth="1"/>
    <col min="25" max="28" width="7.109375" style="172" customWidth="1"/>
    <col min="29" max="29" width="5.33203125" style="172" customWidth="1"/>
    <col min="30" max="31" width="7.109375" style="172" customWidth="1"/>
    <col min="32" max="40" width="5.6640625" style="170" hidden="1" customWidth="1"/>
    <col min="41" max="46" width="6.33203125" style="170" hidden="1" customWidth="1"/>
    <col min="47" max="47" width="7.33203125" style="171" customWidth="1"/>
    <col min="48" max="53" width="7.44140625" style="171" customWidth="1"/>
    <col min="54" max="54" width="7" style="170" customWidth="1"/>
    <col min="55" max="59" width="4.109375" style="170" customWidth="1"/>
    <col min="60" max="60" width="13" style="170" customWidth="1"/>
    <col min="61" max="61" width="21.44140625" style="170" customWidth="1"/>
    <col min="62" max="16384" width="12.5546875" style="170"/>
  </cols>
  <sheetData>
    <row r="1" spans="2:65" s="170" customFormat="1">
      <c r="B1" s="173">
        <v>1</v>
      </c>
      <c r="C1" s="175"/>
      <c r="D1" s="174">
        <v>0</v>
      </c>
      <c r="E1" s="173">
        <v>1</v>
      </c>
      <c r="F1" s="173">
        <v>2</v>
      </c>
      <c r="G1" s="173">
        <v>3</v>
      </c>
      <c r="H1" s="173">
        <v>4</v>
      </c>
      <c r="I1" s="173">
        <v>5</v>
      </c>
      <c r="J1" s="172">
        <v>6</v>
      </c>
      <c r="K1" s="172">
        <v>7</v>
      </c>
      <c r="L1" s="172">
        <v>8</v>
      </c>
      <c r="M1" s="172">
        <v>9</v>
      </c>
      <c r="N1" s="172">
        <v>10</v>
      </c>
      <c r="O1" s="172">
        <v>11</v>
      </c>
      <c r="P1" s="172">
        <v>12</v>
      </c>
      <c r="Q1" s="172">
        <v>13</v>
      </c>
      <c r="R1" s="172">
        <v>14</v>
      </c>
      <c r="S1" s="172">
        <v>15</v>
      </c>
      <c r="T1" s="172">
        <v>16</v>
      </c>
      <c r="U1" s="172">
        <v>17</v>
      </c>
      <c r="V1" s="172">
        <v>18</v>
      </c>
      <c r="W1" s="172">
        <v>19</v>
      </c>
      <c r="X1" s="172">
        <v>20</v>
      </c>
      <c r="Y1" s="172">
        <v>21</v>
      </c>
      <c r="Z1" s="172">
        <v>22</v>
      </c>
      <c r="AA1" s="172">
        <v>23</v>
      </c>
      <c r="AB1" s="172">
        <v>24</v>
      </c>
      <c r="AC1" s="172">
        <v>25</v>
      </c>
      <c r="AD1" s="172">
        <v>26</v>
      </c>
      <c r="AE1" s="172">
        <v>27</v>
      </c>
      <c r="AF1" s="170">
        <v>28</v>
      </c>
      <c r="AG1" s="170">
        <v>29</v>
      </c>
      <c r="AH1" s="170">
        <v>30</v>
      </c>
      <c r="AI1" s="170">
        <v>31</v>
      </c>
      <c r="AJ1" s="170">
        <v>32</v>
      </c>
      <c r="AK1" s="170">
        <v>33</v>
      </c>
      <c r="AL1" s="170">
        <v>34</v>
      </c>
      <c r="AM1" s="170">
        <v>35</v>
      </c>
      <c r="AN1" s="170">
        <v>36</v>
      </c>
      <c r="AO1" s="170">
        <v>37</v>
      </c>
      <c r="AP1" s="170">
        <v>38</v>
      </c>
      <c r="AQ1" s="170">
        <v>39</v>
      </c>
      <c r="AR1" s="170">
        <v>40</v>
      </c>
      <c r="AS1" s="170">
        <v>41</v>
      </c>
      <c r="AT1" s="170">
        <v>42</v>
      </c>
      <c r="AU1" s="170">
        <v>43</v>
      </c>
      <c r="AV1" s="170">
        <v>44</v>
      </c>
      <c r="AW1" s="170">
        <v>45</v>
      </c>
      <c r="AX1" s="170">
        <v>46</v>
      </c>
      <c r="AY1" s="170">
        <v>47</v>
      </c>
      <c r="AZ1" s="170">
        <v>48</v>
      </c>
      <c r="BA1" s="170">
        <v>49</v>
      </c>
    </row>
    <row r="2" spans="2:65" s="170" customFormat="1" ht="30">
      <c r="B2" s="173"/>
      <c r="C2" s="175"/>
      <c r="D2" s="192" t="s">
        <v>275</v>
      </c>
      <c r="E2" s="173"/>
      <c r="F2" s="173"/>
      <c r="G2" s="173"/>
      <c r="H2" s="173" t="s">
        <v>274</v>
      </c>
      <c r="I2" s="173"/>
      <c r="J2" s="172"/>
      <c r="K2" s="172"/>
      <c r="L2" s="172"/>
      <c r="M2" s="172"/>
      <c r="N2" s="172"/>
      <c r="O2" s="172"/>
      <c r="P2" s="172"/>
      <c r="Q2" s="172"/>
      <c r="R2" s="172"/>
      <c r="S2" s="172"/>
      <c r="T2" s="172"/>
      <c r="U2" s="172"/>
      <c r="V2" s="172"/>
      <c r="W2" s="172"/>
      <c r="X2" s="172"/>
      <c r="Y2" s="172"/>
      <c r="Z2" s="172"/>
      <c r="AA2" s="172"/>
      <c r="AB2" s="172"/>
      <c r="AC2" s="172"/>
      <c r="AD2" s="172"/>
      <c r="AE2" s="172"/>
      <c r="AP2" s="191" t="s">
        <v>273</v>
      </c>
      <c r="AS2" s="191" t="s">
        <v>272</v>
      </c>
      <c r="AU2" s="171"/>
      <c r="AV2" s="171"/>
      <c r="AW2" s="171"/>
      <c r="AX2" s="171"/>
      <c r="AY2" s="171"/>
      <c r="AZ2" s="171"/>
      <c r="BA2" s="171"/>
    </row>
    <row r="3" spans="2:65" s="170" customFormat="1">
      <c r="B3" s="173"/>
      <c r="C3" s="175"/>
      <c r="D3" s="174"/>
      <c r="E3" s="173"/>
      <c r="F3" s="173"/>
      <c r="G3" s="173"/>
      <c r="H3" s="173"/>
      <c r="I3" s="173"/>
      <c r="J3" s="172"/>
      <c r="K3" s="172"/>
      <c r="L3" s="172"/>
      <c r="M3" s="172"/>
      <c r="N3" s="172"/>
      <c r="O3" s="172"/>
      <c r="P3" s="172"/>
      <c r="Q3" s="172"/>
      <c r="R3" s="172"/>
      <c r="S3" s="172"/>
      <c r="T3" s="172"/>
      <c r="U3" s="172"/>
      <c r="V3" s="172"/>
      <c r="W3" s="172"/>
      <c r="X3" s="172"/>
      <c r="Y3" s="172"/>
      <c r="Z3" s="172"/>
      <c r="AA3" s="172"/>
      <c r="AB3" s="172"/>
      <c r="AC3" s="172"/>
      <c r="AD3" s="172"/>
      <c r="AE3" s="172"/>
      <c r="AO3" s="170" t="s">
        <v>271</v>
      </c>
      <c r="AR3" s="189" t="s">
        <v>270</v>
      </c>
      <c r="AU3" s="171"/>
      <c r="AV3" s="171"/>
      <c r="AW3" s="171"/>
      <c r="AX3" s="171"/>
      <c r="AY3" s="171"/>
      <c r="AZ3" s="171"/>
      <c r="BA3" s="171"/>
    </row>
    <row r="4" spans="2:65" s="170" customFormat="1" ht="18" customHeight="1">
      <c r="B4" s="187" t="s">
        <v>7</v>
      </c>
      <c r="C4" s="175"/>
      <c r="D4" s="188" t="s">
        <v>7</v>
      </c>
      <c r="E4" s="187" t="s">
        <v>7</v>
      </c>
      <c r="F4" s="173"/>
      <c r="G4" s="187"/>
      <c r="H4" s="187" t="s">
        <v>8</v>
      </c>
      <c r="I4" s="187"/>
      <c r="J4" s="186" t="s">
        <v>9</v>
      </c>
      <c r="K4" s="186"/>
      <c r="L4" s="186"/>
      <c r="M4" s="186" t="s">
        <v>10</v>
      </c>
      <c r="N4" s="186"/>
      <c r="O4" s="186"/>
      <c r="P4" s="186" t="s">
        <v>11</v>
      </c>
      <c r="Q4" s="186"/>
      <c r="R4" s="186"/>
      <c r="S4" s="186" t="s">
        <v>4</v>
      </c>
      <c r="T4" s="186" t="s">
        <v>12</v>
      </c>
      <c r="U4" s="186"/>
      <c r="V4" s="186" t="s">
        <v>13</v>
      </c>
      <c r="W4" s="186"/>
      <c r="X4" s="186" t="s">
        <v>14</v>
      </c>
      <c r="Y4" s="186" t="s">
        <v>5</v>
      </c>
      <c r="Z4" s="186"/>
      <c r="AA4" s="186" t="s">
        <v>15</v>
      </c>
      <c r="AB4" s="186"/>
      <c r="AC4" s="186" t="s">
        <v>16</v>
      </c>
      <c r="AD4" s="186" t="s">
        <v>17</v>
      </c>
      <c r="AE4" s="186" t="s">
        <v>18</v>
      </c>
      <c r="AF4" s="190" t="s">
        <v>269</v>
      </c>
      <c r="AO4" s="170" t="s">
        <v>268</v>
      </c>
      <c r="AR4" s="189" t="s">
        <v>267</v>
      </c>
      <c r="AU4" s="171"/>
      <c r="AV4" s="179"/>
      <c r="AW4" s="179" t="s">
        <v>6</v>
      </c>
      <c r="AX4" s="179"/>
      <c r="AY4" s="179"/>
      <c r="AZ4" s="179" t="s">
        <v>30</v>
      </c>
      <c r="BA4" s="179"/>
    </row>
    <row r="5" spans="2:65" s="170" customFormat="1" ht="18" customHeight="1">
      <c r="B5" s="187" t="s">
        <v>20</v>
      </c>
      <c r="C5" s="175"/>
      <c r="D5" s="188" t="s">
        <v>19</v>
      </c>
      <c r="E5" s="187" t="s">
        <v>20</v>
      </c>
      <c r="F5" s="187" t="s">
        <v>21</v>
      </c>
      <c r="G5" s="173"/>
      <c r="H5" s="187" t="s">
        <v>1</v>
      </c>
      <c r="I5" s="187" t="s">
        <v>22</v>
      </c>
      <c r="J5" s="186" t="s">
        <v>2</v>
      </c>
      <c r="K5" s="186" t="s">
        <v>23</v>
      </c>
      <c r="L5" s="186" t="s">
        <v>3</v>
      </c>
      <c r="M5" s="186" t="s">
        <v>2</v>
      </c>
      <c r="N5" s="186" t="s">
        <v>23</v>
      </c>
      <c r="O5" s="186" t="s">
        <v>3</v>
      </c>
      <c r="P5" s="186" t="s">
        <v>2</v>
      </c>
      <c r="Q5" s="186" t="s">
        <v>23</v>
      </c>
      <c r="R5" s="186" t="s">
        <v>3</v>
      </c>
      <c r="S5" s="186" t="s">
        <v>24</v>
      </c>
      <c r="T5" s="186" t="s">
        <v>25</v>
      </c>
      <c r="U5" s="186" t="s">
        <v>26</v>
      </c>
      <c r="V5" s="186" t="s">
        <v>25</v>
      </c>
      <c r="W5" s="186" t="s">
        <v>26</v>
      </c>
      <c r="X5" s="186" t="s">
        <v>24</v>
      </c>
      <c r="Y5" s="186" t="s">
        <v>27</v>
      </c>
      <c r="Z5" s="186" t="s">
        <v>28</v>
      </c>
      <c r="AA5" s="186" t="s">
        <v>27</v>
      </c>
      <c r="AB5" s="186" t="s">
        <v>28</v>
      </c>
      <c r="AC5" s="186" t="s">
        <v>24</v>
      </c>
      <c r="AD5" s="186"/>
      <c r="AE5" s="186"/>
      <c r="AF5" s="185" t="s">
        <v>266</v>
      </c>
      <c r="AG5" s="185" t="s">
        <v>265</v>
      </c>
      <c r="AH5" s="185" t="s">
        <v>264</v>
      </c>
      <c r="AI5" s="185" t="s">
        <v>263</v>
      </c>
      <c r="AJ5" s="185" t="s">
        <v>262</v>
      </c>
      <c r="AK5" s="185" t="s">
        <v>261</v>
      </c>
      <c r="AL5" s="185" t="s">
        <v>260</v>
      </c>
      <c r="AM5" s="185" t="s">
        <v>259</v>
      </c>
      <c r="AN5" s="185" t="s">
        <v>258</v>
      </c>
      <c r="AO5" s="171" t="s">
        <v>2</v>
      </c>
      <c r="AP5" s="171" t="s">
        <v>23</v>
      </c>
      <c r="AQ5" s="171" t="s">
        <v>3</v>
      </c>
      <c r="AR5" s="171" t="s">
        <v>2</v>
      </c>
      <c r="AS5" s="171" t="s">
        <v>23</v>
      </c>
      <c r="AT5" s="171" t="s">
        <v>3</v>
      </c>
      <c r="AU5" s="171"/>
      <c r="AV5" s="179" t="s">
        <v>31</v>
      </c>
      <c r="AW5" s="179" t="s">
        <v>32</v>
      </c>
      <c r="AX5" s="179" t="s">
        <v>33</v>
      </c>
      <c r="AY5" s="179" t="s">
        <v>31</v>
      </c>
      <c r="AZ5" s="179" t="s">
        <v>32</v>
      </c>
      <c r="BA5" s="179" t="s">
        <v>33</v>
      </c>
    </row>
    <row r="6" spans="2:65" s="170" customFormat="1">
      <c r="B6" s="173"/>
      <c r="C6" s="175"/>
      <c r="D6" s="174"/>
      <c r="E6" s="173"/>
      <c r="F6" s="173"/>
      <c r="G6" s="173"/>
      <c r="H6" s="173"/>
      <c r="I6" s="173"/>
      <c r="J6" s="172"/>
      <c r="K6" s="172"/>
      <c r="L6" s="172"/>
      <c r="M6" s="172"/>
      <c r="N6" s="172"/>
      <c r="O6" s="172"/>
      <c r="P6" s="172"/>
      <c r="Q6" s="172"/>
      <c r="R6" s="172"/>
      <c r="S6" s="172"/>
      <c r="T6" s="172"/>
      <c r="U6" s="172"/>
      <c r="V6" s="172"/>
      <c r="W6" s="172"/>
      <c r="X6" s="172"/>
      <c r="Y6" s="172"/>
      <c r="Z6" s="172"/>
      <c r="AA6" s="172"/>
      <c r="AB6" s="172"/>
      <c r="AC6" s="172"/>
      <c r="AD6" s="172"/>
      <c r="AE6" s="172"/>
      <c r="AO6" s="171"/>
      <c r="AP6" s="171"/>
      <c r="AQ6" s="171"/>
      <c r="AR6" s="171"/>
      <c r="AS6" s="171"/>
      <c r="AT6" s="171"/>
      <c r="AU6" s="171"/>
      <c r="AV6" s="171"/>
      <c r="AW6" s="171"/>
      <c r="AX6" s="171"/>
      <c r="AY6" s="171"/>
      <c r="AZ6" s="171"/>
      <c r="BA6" s="171"/>
    </row>
    <row r="7" spans="2:65" s="170" customFormat="1">
      <c r="B7" s="173">
        <v>2014</v>
      </c>
      <c r="C7" s="175">
        <v>1</v>
      </c>
      <c r="D7" s="174"/>
      <c r="E7" s="173" t="s">
        <v>256</v>
      </c>
      <c r="F7" s="173" t="s">
        <v>182</v>
      </c>
      <c r="G7" s="173" t="s">
        <v>257</v>
      </c>
      <c r="H7" s="173" t="s">
        <v>254</v>
      </c>
      <c r="I7" s="173" t="s">
        <v>202</v>
      </c>
      <c r="J7" s="172">
        <v>65</v>
      </c>
      <c r="K7" s="172">
        <v>64</v>
      </c>
      <c r="L7" s="172"/>
      <c r="M7" s="172">
        <v>58</v>
      </c>
      <c r="N7" s="172">
        <v>57</v>
      </c>
      <c r="O7" s="172"/>
      <c r="P7" s="172">
        <v>58</v>
      </c>
      <c r="Q7" s="178">
        <v>59</v>
      </c>
      <c r="R7" s="172"/>
      <c r="S7" s="172">
        <v>39</v>
      </c>
      <c r="T7" s="172">
        <v>97</v>
      </c>
      <c r="U7" s="172">
        <v>123</v>
      </c>
      <c r="V7" s="172">
        <v>81</v>
      </c>
      <c r="W7" s="172">
        <v>93</v>
      </c>
      <c r="X7" s="172">
        <v>6</v>
      </c>
      <c r="Y7" s="172">
        <v>10.5</v>
      </c>
      <c r="Z7" s="172">
        <v>10.5</v>
      </c>
      <c r="AA7" s="172">
        <v>10.7</v>
      </c>
      <c r="AB7" s="172">
        <v>10.7</v>
      </c>
      <c r="AC7" s="172">
        <v>4</v>
      </c>
      <c r="AD7" s="172">
        <v>0.33</v>
      </c>
      <c r="AE7" s="172">
        <v>0.10100000000000001</v>
      </c>
      <c r="AO7" s="171">
        <v>1</v>
      </c>
      <c r="AP7" s="171">
        <v>1</v>
      </c>
      <c r="AQ7" s="171">
        <v>6</v>
      </c>
      <c r="AR7" s="171">
        <v>8</v>
      </c>
      <c r="AS7" s="171">
        <v>8</v>
      </c>
      <c r="AT7" s="171">
        <v>8</v>
      </c>
      <c r="AU7" s="184"/>
      <c r="AV7" s="179">
        <v>17</v>
      </c>
      <c r="AW7" s="179">
        <v>13</v>
      </c>
      <c r="AX7" s="179"/>
      <c r="AY7" s="179">
        <v>32</v>
      </c>
      <c r="AZ7" s="179">
        <v>17</v>
      </c>
      <c r="BA7" s="179"/>
      <c r="BH7" s="9"/>
      <c r="BI7" s="216"/>
      <c r="BJ7" s="179"/>
      <c r="BK7" s="179"/>
      <c r="BL7" s="181"/>
      <c r="BM7" s="181"/>
    </row>
    <row r="8" spans="2:65" s="170" customFormat="1">
      <c r="B8" s="173">
        <v>2014</v>
      </c>
      <c r="C8" s="175">
        <v>2</v>
      </c>
      <c r="D8" s="174"/>
      <c r="E8" s="173" t="s">
        <v>256</v>
      </c>
      <c r="F8" s="173" t="s">
        <v>182</v>
      </c>
      <c r="G8" s="173" t="s">
        <v>257</v>
      </c>
      <c r="H8" s="173" t="s">
        <v>254</v>
      </c>
      <c r="I8" s="173" t="s">
        <v>201</v>
      </c>
      <c r="J8" s="172">
        <v>67</v>
      </c>
      <c r="K8" s="172">
        <v>66</v>
      </c>
      <c r="L8" s="172"/>
      <c r="M8" s="172">
        <v>59</v>
      </c>
      <c r="N8" s="172">
        <v>58</v>
      </c>
      <c r="O8" s="172"/>
      <c r="P8" s="172">
        <v>59</v>
      </c>
      <c r="Q8" s="172">
        <v>60</v>
      </c>
      <c r="R8" s="172"/>
      <c r="S8" s="172">
        <v>40</v>
      </c>
      <c r="T8" s="172">
        <v>100</v>
      </c>
      <c r="U8" s="172">
        <v>127</v>
      </c>
      <c r="V8" s="172">
        <v>83</v>
      </c>
      <c r="W8" s="172">
        <v>94</v>
      </c>
      <c r="X8" s="172">
        <v>7</v>
      </c>
      <c r="Y8" s="172">
        <v>10.5</v>
      </c>
      <c r="Z8" s="172">
        <v>10.5</v>
      </c>
      <c r="AA8" s="172">
        <v>10.7</v>
      </c>
      <c r="AB8" s="172">
        <v>10.7</v>
      </c>
      <c r="AC8" s="172">
        <v>4</v>
      </c>
      <c r="AD8" s="172">
        <v>0.33</v>
      </c>
      <c r="AE8" s="172">
        <v>0.10100000000000001</v>
      </c>
      <c r="AO8" s="171">
        <v>1</v>
      </c>
      <c r="AP8" s="171">
        <v>1</v>
      </c>
      <c r="AQ8" s="171">
        <v>6</v>
      </c>
      <c r="AR8" s="171">
        <v>8</v>
      </c>
      <c r="AS8" s="171">
        <v>8</v>
      </c>
      <c r="AT8" s="171">
        <v>8</v>
      </c>
      <c r="AU8" s="171"/>
      <c r="AV8" s="179">
        <v>15</v>
      </c>
      <c r="AW8" s="179">
        <v>17</v>
      </c>
      <c r="AX8" s="179"/>
      <c r="AY8" s="179">
        <v>27</v>
      </c>
      <c r="AZ8" s="179">
        <v>20</v>
      </c>
      <c r="BA8" s="179"/>
      <c r="BI8" s="179"/>
      <c r="BJ8" s="179"/>
      <c r="BK8" s="179"/>
      <c r="BL8" s="181"/>
      <c r="BM8" s="181"/>
    </row>
    <row r="9" spans="2:65" s="170" customFormat="1">
      <c r="B9" s="173">
        <v>2014</v>
      </c>
      <c r="C9" s="175">
        <v>3</v>
      </c>
      <c r="D9" s="177"/>
      <c r="E9" s="173" t="s">
        <v>256</v>
      </c>
      <c r="F9" s="173" t="s">
        <v>164</v>
      </c>
      <c r="G9" s="173" t="s">
        <v>255</v>
      </c>
      <c r="H9" s="173" t="s">
        <v>254</v>
      </c>
      <c r="I9" s="173" t="s">
        <v>172</v>
      </c>
      <c r="J9" s="172">
        <v>66</v>
      </c>
      <c r="K9" s="172">
        <v>67</v>
      </c>
      <c r="L9" s="172"/>
      <c r="M9" s="172">
        <v>60</v>
      </c>
      <c r="N9" s="172">
        <v>59</v>
      </c>
      <c r="O9" s="172"/>
      <c r="P9" s="172">
        <v>58</v>
      </c>
      <c r="Q9" s="172">
        <v>61</v>
      </c>
      <c r="R9" s="172"/>
      <c r="S9" s="172">
        <v>40</v>
      </c>
      <c r="T9" s="172">
        <v>105</v>
      </c>
      <c r="U9" s="172">
        <v>134</v>
      </c>
      <c r="V9" s="172">
        <v>90</v>
      </c>
      <c r="W9" s="172">
        <v>106</v>
      </c>
      <c r="X9" s="172">
        <v>7</v>
      </c>
      <c r="Y9" s="172">
        <v>10.7</v>
      </c>
      <c r="Z9" s="172">
        <v>10.7</v>
      </c>
      <c r="AA9" s="172">
        <v>10.9</v>
      </c>
      <c r="AB9" s="172">
        <v>10.9</v>
      </c>
      <c r="AC9" s="172">
        <v>4</v>
      </c>
      <c r="AD9" s="172">
        <v>0.33</v>
      </c>
      <c r="AE9" s="172">
        <v>0.10100000000000001</v>
      </c>
      <c r="AO9" s="171">
        <v>1</v>
      </c>
      <c r="AP9" s="171">
        <v>1</v>
      </c>
      <c r="AQ9" s="171">
        <v>6</v>
      </c>
      <c r="AR9" s="171">
        <v>8</v>
      </c>
      <c r="AS9" s="171">
        <v>8</v>
      </c>
      <c r="AT9" s="171">
        <v>8</v>
      </c>
      <c r="AU9" s="171"/>
      <c r="AV9" s="179">
        <v>15</v>
      </c>
      <c r="AW9" s="179">
        <v>18</v>
      </c>
      <c r="AX9" s="179"/>
      <c r="AY9" s="179">
        <v>30</v>
      </c>
      <c r="AZ9" s="179">
        <v>19</v>
      </c>
      <c r="BA9" s="171"/>
      <c r="BC9" s="179"/>
      <c r="BD9" s="179"/>
      <c r="BE9" s="179"/>
      <c r="BF9" s="179"/>
      <c r="BG9" s="179"/>
      <c r="BH9" s="179"/>
      <c r="BI9" s="179"/>
      <c r="BJ9" s="179"/>
      <c r="BK9" s="179"/>
      <c r="BL9" s="181"/>
      <c r="BM9" s="181"/>
    </row>
    <row r="10" spans="2:65" s="170" customFormat="1">
      <c r="B10" s="173">
        <v>2014</v>
      </c>
      <c r="C10" s="175">
        <v>4</v>
      </c>
      <c r="D10" s="177"/>
      <c r="E10" s="173" t="s">
        <v>256</v>
      </c>
      <c r="F10" s="173" t="s">
        <v>164</v>
      </c>
      <c r="G10" s="173" t="s">
        <v>255</v>
      </c>
      <c r="H10" s="173" t="s">
        <v>254</v>
      </c>
      <c r="I10" s="173" t="s">
        <v>171</v>
      </c>
      <c r="J10" s="172">
        <v>66</v>
      </c>
      <c r="K10" s="172">
        <v>67</v>
      </c>
      <c r="L10" s="172"/>
      <c r="M10" s="172">
        <v>60</v>
      </c>
      <c r="N10" s="172">
        <v>59</v>
      </c>
      <c r="O10" s="172"/>
      <c r="P10" s="172">
        <v>58</v>
      </c>
      <c r="Q10" s="172">
        <v>61</v>
      </c>
      <c r="R10" s="172"/>
      <c r="S10" s="172">
        <v>40</v>
      </c>
      <c r="T10" s="172">
        <v>105</v>
      </c>
      <c r="U10" s="172">
        <v>134</v>
      </c>
      <c r="V10" s="172">
        <v>90</v>
      </c>
      <c r="W10" s="172">
        <v>106</v>
      </c>
      <c r="X10" s="172">
        <v>6</v>
      </c>
      <c r="Y10" s="172">
        <v>10.7</v>
      </c>
      <c r="Z10" s="172">
        <v>10.7</v>
      </c>
      <c r="AA10" s="172">
        <v>10.9</v>
      </c>
      <c r="AB10" s="172">
        <v>10.9</v>
      </c>
      <c r="AC10" s="172">
        <v>4</v>
      </c>
      <c r="AD10" s="172">
        <v>0.33</v>
      </c>
      <c r="AE10" s="172">
        <v>0.10100000000000001</v>
      </c>
      <c r="AO10" s="171">
        <v>2</v>
      </c>
      <c r="AP10" s="171">
        <v>2</v>
      </c>
      <c r="AQ10" s="171">
        <v>6</v>
      </c>
      <c r="AR10" s="171">
        <v>11</v>
      </c>
      <c r="AS10" s="171">
        <v>11</v>
      </c>
      <c r="AT10" s="171">
        <v>11</v>
      </c>
      <c r="AU10" s="171"/>
      <c r="AV10" s="179">
        <v>15</v>
      </c>
      <c r="AW10" s="179">
        <v>18</v>
      </c>
      <c r="AX10" s="179"/>
      <c r="AY10" s="179">
        <v>30</v>
      </c>
      <c r="AZ10" s="179">
        <v>19</v>
      </c>
      <c r="BA10" s="171"/>
      <c r="BH10" s="179"/>
      <c r="BI10" s="179"/>
      <c r="BJ10" s="179"/>
      <c r="BK10" s="179"/>
      <c r="BL10" s="181"/>
      <c r="BM10" s="181"/>
    </row>
    <row r="11" spans="2:65" s="170" customFormat="1">
      <c r="B11" s="173">
        <v>2014</v>
      </c>
      <c r="C11" s="175">
        <v>5</v>
      </c>
      <c r="D11" s="177"/>
      <c r="E11" s="173" t="s">
        <v>256</v>
      </c>
      <c r="F11" s="173" t="s">
        <v>164</v>
      </c>
      <c r="G11" s="173" t="s">
        <v>255</v>
      </c>
      <c r="H11" s="173" t="s">
        <v>254</v>
      </c>
      <c r="I11" s="173" t="s">
        <v>170</v>
      </c>
      <c r="J11" s="172">
        <v>66</v>
      </c>
      <c r="K11" s="172">
        <v>67</v>
      </c>
      <c r="L11" s="172"/>
      <c r="M11" s="172">
        <v>60</v>
      </c>
      <c r="N11" s="172">
        <v>59</v>
      </c>
      <c r="O11" s="172"/>
      <c r="P11" s="172">
        <v>58</v>
      </c>
      <c r="Q11" s="172">
        <v>61</v>
      </c>
      <c r="R11" s="172"/>
      <c r="S11" s="172">
        <v>40</v>
      </c>
      <c r="T11" s="172">
        <v>105</v>
      </c>
      <c r="U11" s="172">
        <v>134</v>
      </c>
      <c r="V11" s="172">
        <v>90</v>
      </c>
      <c r="W11" s="172">
        <v>106</v>
      </c>
      <c r="X11" s="172">
        <v>4</v>
      </c>
      <c r="Y11" s="172">
        <v>10.7</v>
      </c>
      <c r="Z11" s="172">
        <v>10.7</v>
      </c>
      <c r="AA11" s="172">
        <v>10.9</v>
      </c>
      <c r="AB11" s="172">
        <v>10.9</v>
      </c>
      <c r="AC11" s="172">
        <v>4</v>
      </c>
      <c r="AD11" s="172">
        <v>0.33</v>
      </c>
      <c r="AE11" s="172">
        <v>0.10100000000000001</v>
      </c>
      <c r="AO11" s="171">
        <v>4</v>
      </c>
      <c r="AP11" s="171">
        <v>4</v>
      </c>
      <c r="AQ11" s="171">
        <v>6</v>
      </c>
      <c r="AR11" s="171">
        <v>13</v>
      </c>
      <c r="AS11" s="171">
        <v>13</v>
      </c>
      <c r="AT11" s="171">
        <v>13</v>
      </c>
      <c r="AU11" s="171"/>
      <c r="AV11" s="179">
        <v>15</v>
      </c>
      <c r="AW11" s="179">
        <v>18</v>
      </c>
      <c r="AX11" s="179"/>
      <c r="AY11" s="179">
        <v>30</v>
      </c>
      <c r="AZ11" s="179">
        <v>19</v>
      </c>
      <c r="BA11" s="171"/>
      <c r="BH11" s="179"/>
      <c r="BI11" s="179"/>
      <c r="BJ11" s="179"/>
      <c r="BK11" s="179"/>
      <c r="BL11" s="181"/>
      <c r="BM11" s="181"/>
    </row>
    <row r="12" spans="2:65" s="170" customFormat="1">
      <c r="B12" s="173">
        <v>2014</v>
      </c>
      <c r="C12" s="175">
        <v>6</v>
      </c>
      <c r="D12" s="177"/>
      <c r="E12" s="173" t="s">
        <v>256</v>
      </c>
      <c r="F12" s="173" t="s">
        <v>164</v>
      </c>
      <c r="G12" s="173" t="s">
        <v>255</v>
      </c>
      <c r="H12" s="173" t="s">
        <v>254</v>
      </c>
      <c r="I12" s="173" t="s">
        <v>169</v>
      </c>
      <c r="J12" s="172">
        <v>64</v>
      </c>
      <c r="K12" s="172">
        <v>65</v>
      </c>
      <c r="L12" s="172">
        <v>59</v>
      </c>
      <c r="M12" s="172">
        <v>59</v>
      </c>
      <c r="N12" s="172">
        <v>58</v>
      </c>
      <c r="O12" s="172">
        <v>54</v>
      </c>
      <c r="P12" s="172">
        <v>57</v>
      </c>
      <c r="Q12" s="172">
        <v>60</v>
      </c>
      <c r="R12" s="172">
        <v>59</v>
      </c>
      <c r="S12" s="172">
        <v>38</v>
      </c>
      <c r="T12" s="172">
        <v>102</v>
      </c>
      <c r="U12" s="172">
        <v>130</v>
      </c>
      <c r="V12" s="172">
        <v>88</v>
      </c>
      <c r="W12" s="172">
        <v>104</v>
      </c>
      <c r="X12" s="172">
        <v>2</v>
      </c>
      <c r="Y12" s="172">
        <v>10.7</v>
      </c>
      <c r="Z12" s="172">
        <v>10.7</v>
      </c>
      <c r="AA12" s="172">
        <v>10.9</v>
      </c>
      <c r="AB12" s="172">
        <v>10.9</v>
      </c>
      <c r="AC12" s="172">
        <v>4</v>
      </c>
      <c r="AD12" s="172">
        <v>0.33</v>
      </c>
      <c r="AE12" s="172">
        <v>0.10100000000000001</v>
      </c>
      <c r="AO12" s="171">
        <v>4</v>
      </c>
      <c r="AP12" s="171">
        <v>4</v>
      </c>
      <c r="AQ12" s="171">
        <v>6</v>
      </c>
      <c r="AR12" s="171">
        <v>13</v>
      </c>
      <c r="AS12" s="171">
        <v>13</v>
      </c>
      <c r="AT12" s="171">
        <v>13</v>
      </c>
      <c r="AU12" s="171" t="s">
        <v>183</v>
      </c>
      <c r="AV12" s="179">
        <v>15</v>
      </c>
      <c r="AW12" s="179">
        <v>18</v>
      </c>
      <c r="AX12" s="179"/>
      <c r="AY12" s="179">
        <v>30</v>
      </c>
      <c r="AZ12" s="179">
        <v>19</v>
      </c>
      <c r="BA12" s="171"/>
      <c r="BH12" s="179"/>
      <c r="BI12" s="179"/>
      <c r="BJ12" s="179"/>
      <c r="BK12" s="179"/>
      <c r="BL12" s="181"/>
      <c r="BM12" s="181"/>
    </row>
    <row r="13" spans="2:65" s="170" customFormat="1">
      <c r="B13" s="173">
        <v>2014</v>
      </c>
      <c r="C13" s="175">
        <v>7</v>
      </c>
      <c r="D13" s="177"/>
      <c r="E13" s="173" t="s">
        <v>256</v>
      </c>
      <c r="F13" s="173" t="s">
        <v>164</v>
      </c>
      <c r="G13" s="173" t="s">
        <v>255</v>
      </c>
      <c r="H13" s="173" t="s">
        <v>254</v>
      </c>
      <c r="I13" s="173" t="s">
        <v>168</v>
      </c>
      <c r="J13" s="172"/>
      <c r="K13" s="172">
        <v>63</v>
      </c>
      <c r="L13" s="172"/>
      <c r="M13" s="172"/>
      <c r="N13" s="172">
        <v>57</v>
      </c>
      <c r="O13" s="172"/>
      <c r="P13" s="172"/>
      <c r="Q13" s="172"/>
      <c r="R13" s="172"/>
      <c r="S13" s="172"/>
      <c r="T13" s="172"/>
      <c r="U13" s="172"/>
      <c r="V13" s="172"/>
      <c r="W13" s="172"/>
      <c r="X13" s="172">
        <v>2</v>
      </c>
      <c r="Y13" s="172">
        <v>10.7</v>
      </c>
      <c r="Z13" s="172">
        <v>10.7</v>
      </c>
      <c r="AA13" s="172">
        <v>10.9</v>
      </c>
      <c r="AB13" s="172">
        <v>10.9</v>
      </c>
      <c r="AC13" s="172">
        <v>4</v>
      </c>
      <c r="AD13" s="172">
        <v>0.33</v>
      </c>
      <c r="AE13" s="172">
        <v>0.10100000000000001</v>
      </c>
      <c r="AO13" s="171">
        <v>4</v>
      </c>
      <c r="AP13" s="171">
        <v>4</v>
      </c>
      <c r="AQ13" s="171">
        <v>6</v>
      </c>
      <c r="AR13" s="171">
        <v>13</v>
      </c>
      <c r="AS13" s="171">
        <v>13</v>
      </c>
      <c r="AT13" s="171">
        <v>13</v>
      </c>
      <c r="AU13" s="171" t="s">
        <v>183</v>
      </c>
      <c r="AV13" s="179">
        <v>15</v>
      </c>
      <c r="AW13" s="179">
        <v>18</v>
      </c>
      <c r="AX13" s="179"/>
      <c r="AY13" s="179">
        <v>30</v>
      </c>
      <c r="AZ13" s="179">
        <v>19</v>
      </c>
      <c r="BA13" s="171"/>
      <c r="BC13" s="179"/>
      <c r="BD13" s="179"/>
      <c r="BE13" s="179"/>
      <c r="BF13" s="179"/>
      <c r="BG13" s="179"/>
      <c r="BH13" s="179"/>
      <c r="BI13" s="179"/>
      <c r="BJ13" s="179"/>
      <c r="BK13" s="179"/>
      <c r="BL13" s="181"/>
      <c r="BM13" s="181"/>
    </row>
    <row r="14" spans="2:65" s="170" customFormat="1">
      <c r="B14" s="173">
        <v>2014</v>
      </c>
      <c r="C14" s="175">
        <v>8</v>
      </c>
      <c r="D14" s="177"/>
      <c r="E14" s="173" t="s">
        <v>256</v>
      </c>
      <c r="F14" s="173" t="s">
        <v>164</v>
      </c>
      <c r="G14" s="173" t="s">
        <v>255</v>
      </c>
      <c r="H14" s="173" t="s">
        <v>254</v>
      </c>
      <c r="I14" s="173" t="s">
        <v>197</v>
      </c>
      <c r="J14" s="172"/>
      <c r="K14" s="172">
        <v>59</v>
      </c>
      <c r="L14" s="172"/>
      <c r="M14" s="172"/>
      <c r="N14" s="172">
        <v>55</v>
      </c>
      <c r="O14" s="172"/>
      <c r="P14" s="172"/>
      <c r="Q14" s="172"/>
      <c r="R14" s="172"/>
      <c r="S14" s="172"/>
      <c r="T14" s="172"/>
      <c r="U14" s="172"/>
      <c r="V14" s="172"/>
      <c r="W14" s="172"/>
      <c r="X14" s="172">
        <v>1</v>
      </c>
      <c r="Y14" s="172">
        <v>10.7</v>
      </c>
      <c r="Z14" s="172">
        <v>10.7</v>
      </c>
      <c r="AA14" s="172">
        <v>10.9</v>
      </c>
      <c r="AB14" s="172">
        <v>10.9</v>
      </c>
      <c r="AC14" s="172">
        <v>4</v>
      </c>
      <c r="AD14" s="172">
        <v>0.33</v>
      </c>
      <c r="AE14" s="172">
        <v>0.10100000000000001</v>
      </c>
      <c r="AO14" s="171">
        <v>4</v>
      </c>
      <c r="AP14" s="171">
        <v>4</v>
      </c>
      <c r="AQ14" s="171">
        <v>6</v>
      </c>
      <c r="AR14" s="171">
        <v>13</v>
      </c>
      <c r="AS14" s="171">
        <v>13</v>
      </c>
      <c r="AT14" s="171">
        <v>13</v>
      </c>
      <c r="AU14" s="171" t="s">
        <v>183</v>
      </c>
      <c r="AV14" s="179">
        <v>15</v>
      </c>
      <c r="AW14" s="179">
        <v>18</v>
      </c>
      <c r="AX14" s="179"/>
      <c r="AY14" s="179">
        <v>30</v>
      </c>
      <c r="AZ14" s="179">
        <v>19</v>
      </c>
      <c r="BA14" s="171"/>
      <c r="BH14" s="179"/>
      <c r="BI14" s="179"/>
      <c r="BJ14" s="179"/>
      <c r="BK14" s="179"/>
      <c r="BL14" s="181"/>
      <c r="BM14" s="181"/>
    </row>
    <row r="15" spans="2:65" s="170" customFormat="1">
      <c r="B15" s="173">
        <v>2024</v>
      </c>
      <c r="C15" s="175">
        <v>9</v>
      </c>
      <c r="D15" s="174"/>
      <c r="E15" s="173" t="s">
        <v>230</v>
      </c>
      <c r="F15" s="173" t="s">
        <v>195</v>
      </c>
      <c r="G15" s="173" t="s">
        <v>245</v>
      </c>
      <c r="H15" s="173" t="s">
        <v>250</v>
      </c>
      <c r="I15" s="173" t="s">
        <v>191</v>
      </c>
      <c r="J15" s="172">
        <v>64</v>
      </c>
      <c r="K15" s="172">
        <v>63</v>
      </c>
      <c r="L15" s="172"/>
      <c r="M15" s="172">
        <v>47</v>
      </c>
      <c r="N15" s="172">
        <v>42</v>
      </c>
      <c r="O15" s="172"/>
      <c r="P15" s="172">
        <v>39</v>
      </c>
      <c r="Q15" s="172">
        <v>45</v>
      </c>
      <c r="R15" s="172"/>
      <c r="S15" s="172">
        <v>39</v>
      </c>
      <c r="T15" s="172">
        <v>104</v>
      </c>
      <c r="U15" s="172">
        <v>129</v>
      </c>
      <c r="V15" s="172">
        <v>73</v>
      </c>
      <c r="W15" s="172">
        <v>88</v>
      </c>
      <c r="X15" s="172">
        <v>10</v>
      </c>
      <c r="Y15" s="172">
        <v>10.5</v>
      </c>
      <c r="Z15" s="172">
        <v>10.5</v>
      </c>
      <c r="AA15" s="172">
        <v>10.7</v>
      </c>
      <c r="AB15" s="172">
        <v>10.7</v>
      </c>
      <c r="AC15" s="172">
        <v>4</v>
      </c>
      <c r="AD15" s="172">
        <v>0.33</v>
      </c>
      <c r="AE15" s="172">
        <v>0.10100000000000001</v>
      </c>
      <c r="AF15" s="170">
        <v>67</v>
      </c>
      <c r="AG15" s="170">
        <v>9.6999999999999993</v>
      </c>
      <c r="AH15" s="170">
        <v>0.42</v>
      </c>
      <c r="AI15" s="170">
        <v>66.619406389999995</v>
      </c>
      <c r="AJ15" s="170">
        <v>-4.2038466400000001</v>
      </c>
      <c r="AK15" s="170">
        <v>0.25187401599999998</v>
      </c>
      <c r="AL15" s="170">
        <v>-7.7439400000000004E-3</v>
      </c>
      <c r="AM15" s="170">
        <v>1.05041E-4</v>
      </c>
      <c r="AN15" s="170">
        <f>-5.1412*10^-7</f>
        <v>-5.1412E-7</v>
      </c>
      <c r="AO15" s="171">
        <v>4</v>
      </c>
      <c r="AP15" s="171">
        <v>4</v>
      </c>
      <c r="AQ15" s="171">
        <v>6</v>
      </c>
      <c r="AR15" s="171">
        <v>5</v>
      </c>
      <c r="AS15" s="171">
        <v>5</v>
      </c>
      <c r="AT15" s="171">
        <v>5</v>
      </c>
      <c r="AU15" s="171"/>
      <c r="AV15" s="179">
        <v>15</v>
      </c>
      <c r="AW15" s="179">
        <v>11</v>
      </c>
      <c r="AX15" s="179"/>
      <c r="AY15" s="179">
        <v>50</v>
      </c>
      <c r="AZ15" s="179">
        <v>12</v>
      </c>
      <c r="BA15" s="171"/>
      <c r="BH15" s="179"/>
      <c r="BI15" s="179"/>
      <c r="BJ15" s="179"/>
      <c r="BK15" s="179"/>
      <c r="BL15" s="181"/>
      <c r="BM15" s="181"/>
    </row>
    <row r="16" spans="2:65" s="170" customFormat="1">
      <c r="B16" s="173">
        <v>2024</v>
      </c>
      <c r="C16" s="175">
        <v>10</v>
      </c>
      <c r="D16" s="174"/>
      <c r="E16" s="173" t="s">
        <v>230</v>
      </c>
      <c r="F16" s="173" t="s">
        <v>195</v>
      </c>
      <c r="G16" s="173" t="s">
        <v>245</v>
      </c>
      <c r="H16" s="173" t="s">
        <v>250</v>
      </c>
      <c r="I16" s="173" t="s">
        <v>253</v>
      </c>
      <c r="J16" s="172">
        <v>64</v>
      </c>
      <c r="K16" s="172">
        <v>63</v>
      </c>
      <c r="L16" s="172"/>
      <c r="M16" s="172">
        <v>47</v>
      </c>
      <c r="N16" s="172">
        <v>42</v>
      </c>
      <c r="O16" s="172"/>
      <c r="P16" s="172">
        <v>39</v>
      </c>
      <c r="Q16" s="172">
        <v>45</v>
      </c>
      <c r="R16" s="172"/>
      <c r="S16" s="172">
        <v>39</v>
      </c>
      <c r="T16" s="172">
        <v>104</v>
      </c>
      <c r="U16" s="172">
        <v>129</v>
      </c>
      <c r="V16" s="172">
        <v>73</v>
      </c>
      <c r="W16" s="172">
        <v>88</v>
      </c>
      <c r="X16" s="172">
        <v>10</v>
      </c>
      <c r="Y16" s="172">
        <v>10.5</v>
      </c>
      <c r="Z16" s="172">
        <v>10.5</v>
      </c>
      <c r="AA16" s="172">
        <v>10.7</v>
      </c>
      <c r="AB16" s="172">
        <v>10.7</v>
      </c>
      <c r="AC16" s="172">
        <v>4</v>
      </c>
      <c r="AD16" s="172">
        <v>0.33</v>
      </c>
      <c r="AE16" s="172">
        <v>0.10100000000000001</v>
      </c>
      <c r="AF16" s="170">
        <v>67</v>
      </c>
      <c r="AG16" s="170">
        <v>9.6999999999999993</v>
      </c>
      <c r="AH16" s="170">
        <v>0.42</v>
      </c>
      <c r="AI16" s="170">
        <v>66.619406389999995</v>
      </c>
      <c r="AJ16" s="170">
        <v>-4.2038466400000001</v>
      </c>
      <c r="AK16" s="170">
        <v>0.25187401599999998</v>
      </c>
      <c r="AL16" s="170">
        <v>-7.7439400000000004E-3</v>
      </c>
      <c r="AM16" s="170">
        <v>1.05041E-4</v>
      </c>
      <c r="AN16" s="170">
        <f>-5.1412*10^-7</f>
        <v>-5.1412E-7</v>
      </c>
      <c r="AO16" s="171">
        <v>4</v>
      </c>
      <c r="AP16" s="171">
        <v>4</v>
      </c>
      <c r="AQ16" s="171">
        <v>6</v>
      </c>
      <c r="AR16" s="171">
        <v>5</v>
      </c>
      <c r="AS16" s="171">
        <v>5</v>
      </c>
      <c r="AT16" s="171">
        <v>5</v>
      </c>
      <c r="AU16" s="171"/>
      <c r="AV16" s="179">
        <v>13</v>
      </c>
      <c r="AW16" s="179">
        <v>19</v>
      </c>
      <c r="AX16" s="179"/>
      <c r="AY16" s="179">
        <v>50</v>
      </c>
      <c r="AZ16" s="179">
        <v>15</v>
      </c>
      <c r="BA16" s="171"/>
      <c r="BC16" s="179"/>
      <c r="BD16" s="179"/>
      <c r="BE16" s="179"/>
      <c r="BF16" s="179"/>
      <c r="BG16" s="179"/>
      <c r="BH16" s="179"/>
      <c r="BI16" s="179"/>
      <c r="BJ16" s="179"/>
      <c r="BK16" s="179"/>
      <c r="BL16" s="181"/>
      <c r="BM16" s="181"/>
    </row>
    <row r="17" spans="1:65">
      <c r="B17" s="173">
        <v>2024</v>
      </c>
      <c r="C17" s="175">
        <v>11</v>
      </c>
      <c r="E17" s="173" t="s">
        <v>230</v>
      </c>
      <c r="F17" s="173" t="s">
        <v>195</v>
      </c>
      <c r="G17" s="173" t="s">
        <v>245</v>
      </c>
      <c r="H17" s="173" t="s">
        <v>250</v>
      </c>
      <c r="I17" s="173" t="s">
        <v>193</v>
      </c>
      <c r="J17" s="172">
        <v>65</v>
      </c>
      <c r="K17" s="172">
        <v>64</v>
      </c>
      <c r="M17" s="172">
        <v>47</v>
      </c>
      <c r="N17" s="172">
        <v>42</v>
      </c>
      <c r="P17" s="172">
        <v>39</v>
      </c>
      <c r="Q17" s="172">
        <v>45</v>
      </c>
      <c r="S17" s="172">
        <v>40</v>
      </c>
      <c r="T17" s="172">
        <v>106</v>
      </c>
      <c r="U17" s="172">
        <v>131</v>
      </c>
      <c r="V17" s="172">
        <v>73</v>
      </c>
      <c r="W17" s="172">
        <v>88</v>
      </c>
      <c r="X17" s="172">
        <v>10</v>
      </c>
      <c r="Y17" s="172">
        <v>10.5</v>
      </c>
      <c r="Z17" s="172">
        <v>10.5</v>
      </c>
      <c r="AA17" s="172">
        <v>10.7</v>
      </c>
      <c r="AB17" s="172">
        <v>10.7</v>
      </c>
      <c r="AC17" s="172">
        <v>4</v>
      </c>
      <c r="AD17" s="172">
        <v>0.33</v>
      </c>
      <c r="AE17" s="172">
        <v>0.10100000000000001</v>
      </c>
      <c r="AF17" s="170">
        <v>67</v>
      </c>
      <c r="AG17" s="170">
        <v>9.6999999999999993</v>
      </c>
      <c r="AH17" s="170">
        <v>0.42</v>
      </c>
      <c r="AI17" s="170">
        <v>66.619406389999995</v>
      </c>
      <c r="AJ17" s="170">
        <v>-4.2038466400000001</v>
      </c>
      <c r="AK17" s="170">
        <v>0.25187401599999998</v>
      </c>
      <c r="AL17" s="170">
        <v>-7.7439400000000004E-3</v>
      </c>
      <c r="AM17" s="170">
        <v>1.05041E-4</v>
      </c>
      <c r="AN17" s="170">
        <f>-5.1412*10^-7</f>
        <v>-5.1412E-7</v>
      </c>
      <c r="AO17" s="171">
        <v>4</v>
      </c>
      <c r="AP17" s="171">
        <v>4</v>
      </c>
      <c r="AQ17" s="171">
        <v>6</v>
      </c>
      <c r="AR17" s="171">
        <v>5</v>
      </c>
      <c r="AS17" s="171">
        <v>5</v>
      </c>
      <c r="AT17" s="171">
        <v>5</v>
      </c>
      <c r="AV17" s="179">
        <v>13</v>
      </c>
      <c r="AW17" s="179">
        <v>19</v>
      </c>
      <c r="AX17" s="179"/>
      <c r="AY17" s="179">
        <v>50</v>
      </c>
      <c r="AZ17" s="179">
        <v>15</v>
      </c>
      <c r="BC17" s="179"/>
      <c r="BD17" s="179"/>
      <c r="BE17" s="179"/>
      <c r="BF17" s="179"/>
      <c r="BG17" s="179"/>
      <c r="BH17" s="179"/>
      <c r="BI17" s="179"/>
      <c r="BJ17" s="179"/>
      <c r="BK17" s="179"/>
      <c r="BL17" s="181"/>
      <c r="BM17" s="181"/>
    </row>
    <row r="18" spans="1:65">
      <c r="B18" s="173">
        <v>2024</v>
      </c>
      <c r="C18" s="175">
        <v>12</v>
      </c>
      <c r="D18" s="183"/>
      <c r="E18" s="173" t="s">
        <v>230</v>
      </c>
      <c r="F18" s="173" t="s">
        <v>251</v>
      </c>
      <c r="G18" s="173" t="s">
        <v>245</v>
      </c>
      <c r="H18" s="173" t="s">
        <v>250</v>
      </c>
      <c r="I18" s="173" t="s">
        <v>172</v>
      </c>
      <c r="J18" s="172">
        <v>64</v>
      </c>
      <c r="K18" s="172">
        <v>64</v>
      </c>
      <c r="M18" s="172">
        <v>48</v>
      </c>
      <c r="N18" s="172">
        <v>42</v>
      </c>
      <c r="P18" s="172">
        <v>39</v>
      </c>
      <c r="Q18" s="172">
        <v>45</v>
      </c>
      <c r="S18" s="172">
        <v>38</v>
      </c>
      <c r="T18" s="172">
        <v>97</v>
      </c>
      <c r="U18" s="172">
        <v>119</v>
      </c>
      <c r="V18" s="172">
        <v>72</v>
      </c>
      <c r="W18" s="172">
        <v>86</v>
      </c>
      <c r="X18" s="172">
        <v>12</v>
      </c>
      <c r="Y18" s="172">
        <v>10.7</v>
      </c>
      <c r="Z18" s="172">
        <v>10.7</v>
      </c>
      <c r="AA18" s="172">
        <v>10.9</v>
      </c>
      <c r="AB18" s="172">
        <v>10.9</v>
      </c>
      <c r="AC18" s="172">
        <v>4</v>
      </c>
      <c r="AD18" s="172">
        <v>0.33</v>
      </c>
      <c r="AE18" s="172">
        <v>0.1</v>
      </c>
      <c r="AO18" s="171"/>
      <c r="AP18" s="171"/>
      <c r="AQ18" s="171"/>
      <c r="AR18" s="171"/>
      <c r="AS18" s="171"/>
      <c r="AT18" s="171"/>
      <c r="AU18" s="171" t="s">
        <v>183</v>
      </c>
      <c r="AV18" s="179">
        <v>9</v>
      </c>
      <c r="AW18" s="179">
        <v>12</v>
      </c>
      <c r="AX18" s="179"/>
      <c r="AY18" s="179">
        <v>42</v>
      </c>
      <c r="AZ18" s="179">
        <v>9</v>
      </c>
      <c r="BC18" s="179"/>
      <c r="BD18" s="179"/>
      <c r="BE18" s="179"/>
      <c r="BF18" s="179"/>
      <c r="BG18" s="179"/>
      <c r="BH18" s="179"/>
      <c r="BI18" s="179"/>
      <c r="BJ18" s="179"/>
      <c r="BK18" s="179"/>
      <c r="BL18" s="181"/>
      <c r="BM18" s="181"/>
    </row>
    <row r="19" spans="1:65">
      <c r="B19" s="173">
        <v>2024</v>
      </c>
      <c r="C19" s="175">
        <v>13</v>
      </c>
      <c r="D19" s="183"/>
      <c r="E19" s="173" t="s">
        <v>230</v>
      </c>
      <c r="F19" s="173" t="s">
        <v>251</v>
      </c>
      <c r="G19" s="173" t="s">
        <v>245</v>
      </c>
      <c r="H19" s="173" t="s">
        <v>250</v>
      </c>
      <c r="I19" s="173" t="s">
        <v>252</v>
      </c>
      <c r="J19" s="172">
        <v>63</v>
      </c>
      <c r="K19" s="172">
        <v>63</v>
      </c>
      <c r="M19" s="172">
        <v>48</v>
      </c>
      <c r="N19" s="172">
        <v>42</v>
      </c>
      <c r="P19" s="172">
        <v>39</v>
      </c>
      <c r="Q19" s="172">
        <v>45</v>
      </c>
      <c r="S19" s="172">
        <v>37</v>
      </c>
      <c r="T19" s="172">
        <v>95</v>
      </c>
      <c r="U19" s="172">
        <v>117</v>
      </c>
      <c r="V19" s="172">
        <v>72</v>
      </c>
      <c r="W19" s="172">
        <v>86</v>
      </c>
      <c r="X19" s="172">
        <v>8</v>
      </c>
      <c r="Y19" s="172">
        <v>10.7</v>
      </c>
      <c r="Z19" s="172">
        <v>10.7</v>
      </c>
      <c r="AA19" s="172">
        <v>10.9</v>
      </c>
      <c r="AB19" s="172">
        <v>10.9</v>
      </c>
      <c r="AC19" s="172">
        <v>4</v>
      </c>
      <c r="AD19" s="172">
        <v>0.33</v>
      </c>
      <c r="AE19" s="172">
        <v>0.1</v>
      </c>
      <c r="AO19" s="171"/>
      <c r="AP19" s="171"/>
      <c r="AQ19" s="171"/>
      <c r="AR19" s="171"/>
      <c r="AS19" s="171"/>
      <c r="AT19" s="171"/>
      <c r="AV19" s="179">
        <v>9</v>
      </c>
      <c r="AW19" s="179">
        <v>12</v>
      </c>
      <c r="AX19" s="179"/>
      <c r="AY19" s="179">
        <v>42</v>
      </c>
      <c r="AZ19" s="179">
        <v>9</v>
      </c>
      <c r="BC19" s="179"/>
      <c r="BD19" s="179"/>
      <c r="BE19" s="179"/>
      <c r="BF19" s="179"/>
      <c r="BG19" s="179"/>
      <c r="BH19" s="179"/>
      <c r="BI19" s="179"/>
      <c r="BJ19" s="179"/>
      <c r="BK19" s="179"/>
      <c r="BL19" s="181"/>
      <c r="BM19" s="181"/>
    </row>
    <row r="20" spans="1:65">
      <c r="B20" s="173">
        <v>2024</v>
      </c>
      <c r="C20" s="175">
        <v>14</v>
      </c>
      <c r="D20" s="183"/>
      <c r="E20" s="173" t="s">
        <v>230</v>
      </c>
      <c r="F20" s="173" t="s">
        <v>251</v>
      </c>
      <c r="G20" s="173" t="s">
        <v>245</v>
      </c>
      <c r="H20" s="173" t="s">
        <v>250</v>
      </c>
      <c r="I20" s="173" t="s">
        <v>206</v>
      </c>
      <c r="J20" s="172">
        <v>62</v>
      </c>
      <c r="K20" s="172">
        <v>62</v>
      </c>
      <c r="M20" s="172">
        <v>47</v>
      </c>
      <c r="N20" s="172">
        <v>42</v>
      </c>
      <c r="P20" s="172">
        <v>39</v>
      </c>
      <c r="Q20" s="172">
        <v>44</v>
      </c>
      <c r="S20" s="172">
        <v>37</v>
      </c>
      <c r="T20" s="172">
        <v>94</v>
      </c>
      <c r="U20" s="172">
        <v>115</v>
      </c>
      <c r="V20" s="172">
        <v>72</v>
      </c>
      <c r="W20" s="172">
        <v>86</v>
      </c>
      <c r="X20" s="172">
        <v>7</v>
      </c>
      <c r="Y20" s="172">
        <v>10.7</v>
      </c>
      <c r="Z20" s="172">
        <v>10.7</v>
      </c>
      <c r="AA20" s="172">
        <v>10.9</v>
      </c>
      <c r="AB20" s="172">
        <v>10.9</v>
      </c>
      <c r="AC20" s="172">
        <v>4</v>
      </c>
      <c r="AD20" s="172">
        <v>0.33</v>
      </c>
      <c r="AE20" s="172">
        <v>0.1</v>
      </c>
      <c r="AO20" s="171"/>
      <c r="AP20" s="171"/>
      <c r="AQ20" s="171"/>
      <c r="AR20" s="171"/>
      <c r="AS20" s="171"/>
      <c r="AT20" s="171"/>
      <c r="AV20" s="179">
        <v>9</v>
      </c>
      <c r="AW20" s="179">
        <v>12</v>
      </c>
      <c r="AX20" s="179"/>
      <c r="AY20" s="179">
        <v>42</v>
      </c>
      <c r="AZ20" s="179">
        <v>9</v>
      </c>
      <c r="BC20" s="179"/>
      <c r="BD20" s="179"/>
      <c r="BE20" s="179"/>
      <c r="BF20" s="179"/>
      <c r="BG20" s="179"/>
      <c r="BH20" s="179"/>
      <c r="BI20" s="179"/>
      <c r="BJ20" s="179"/>
      <c r="BK20" s="179"/>
      <c r="BL20" s="181"/>
      <c r="BM20" s="181"/>
    </row>
    <row r="21" spans="1:65">
      <c r="B21" s="173">
        <v>2024</v>
      </c>
      <c r="C21" s="175">
        <v>15</v>
      </c>
      <c r="E21" s="173" t="s">
        <v>230</v>
      </c>
      <c r="F21" s="173" t="s">
        <v>251</v>
      </c>
      <c r="G21" s="173" t="s">
        <v>245</v>
      </c>
      <c r="H21" s="173" t="s">
        <v>250</v>
      </c>
      <c r="I21" s="173" t="s">
        <v>158</v>
      </c>
      <c r="J21" s="172">
        <v>62</v>
      </c>
      <c r="K21" s="172">
        <v>62</v>
      </c>
      <c r="M21" s="172">
        <v>47</v>
      </c>
      <c r="N21" s="172">
        <v>42</v>
      </c>
      <c r="P21" s="172">
        <v>38</v>
      </c>
      <c r="Q21" s="172">
        <v>44</v>
      </c>
      <c r="S21" s="172">
        <v>37</v>
      </c>
      <c r="T21" s="172">
        <v>94</v>
      </c>
      <c r="U21" s="172">
        <v>115</v>
      </c>
      <c r="V21" s="172">
        <v>72</v>
      </c>
      <c r="W21" s="172">
        <v>86</v>
      </c>
      <c r="X21" s="172">
        <v>6</v>
      </c>
      <c r="Y21" s="172">
        <v>10.7</v>
      </c>
      <c r="Z21" s="172">
        <v>10.7</v>
      </c>
      <c r="AA21" s="172">
        <v>10.9</v>
      </c>
      <c r="AB21" s="172">
        <v>10.9</v>
      </c>
      <c r="AC21" s="172">
        <v>4</v>
      </c>
      <c r="AD21" s="172">
        <v>0.33</v>
      </c>
      <c r="AE21" s="172">
        <v>0.1</v>
      </c>
      <c r="AO21" s="171"/>
      <c r="AP21" s="171"/>
      <c r="AQ21" s="171"/>
      <c r="AR21" s="171"/>
      <c r="AS21" s="171"/>
      <c r="AT21" s="171"/>
      <c r="AV21" s="179">
        <v>9</v>
      </c>
      <c r="AW21" s="179">
        <v>12</v>
      </c>
      <c r="AX21" s="179"/>
      <c r="AY21" s="179">
        <v>42</v>
      </c>
      <c r="AZ21" s="179">
        <v>9</v>
      </c>
      <c r="BC21" s="179"/>
      <c r="BD21" s="179"/>
      <c r="BE21" s="179"/>
      <c r="BF21" s="179"/>
      <c r="BG21" s="179"/>
      <c r="BH21" s="179"/>
      <c r="BI21" s="179"/>
      <c r="BJ21" s="179"/>
      <c r="BK21" s="179"/>
      <c r="BL21" s="181"/>
      <c r="BM21" s="181"/>
    </row>
    <row r="22" spans="1:65">
      <c r="B22" s="173">
        <v>2024</v>
      </c>
      <c r="C22" s="175">
        <v>16</v>
      </c>
      <c r="E22" s="173" t="s">
        <v>230</v>
      </c>
      <c r="F22" s="173" t="s">
        <v>251</v>
      </c>
      <c r="G22" s="173" t="s">
        <v>245</v>
      </c>
      <c r="H22" s="173" t="s">
        <v>250</v>
      </c>
      <c r="I22" s="173" t="s">
        <v>185</v>
      </c>
      <c r="J22" s="172">
        <v>60</v>
      </c>
      <c r="K22" s="172">
        <v>60</v>
      </c>
      <c r="L22" s="172">
        <v>52</v>
      </c>
      <c r="M22" s="172">
        <v>46</v>
      </c>
      <c r="N22" s="172">
        <v>42</v>
      </c>
      <c r="O22" s="172">
        <v>38</v>
      </c>
      <c r="P22" s="172">
        <v>37</v>
      </c>
      <c r="Q22" s="172">
        <v>43</v>
      </c>
      <c r="R22" s="172">
        <v>46</v>
      </c>
      <c r="S22" s="172">
        <v>35</v>
      </c>
      <c r="T22" s="172">
        <v>91</v>
      </c>
      <c r="U22" s="172">
        <v>111</v>
      </c>
      <c r="V22" s="172">
        <v>72</v>
      </c>
      <c r="W22" s="172">
        <v>86</v>
      </c>
      <c r="X22" s="172">
        <v>4</v>
      </c>
      <c r="Y22" s="172">
        <v>10.7</v>
      </c>
      <c r="Z22" s="172">
        <v>10.7</v>
      </c>
      <c r="AA22" s="172">
        <v>10.9</v>
      </c>
      <c r="AB22" s="172">
        <v>10.9</v>
      </c>
      <c r="AC22" s="172">
        <v>4</v>
      </c>
      <c r="AD22" s="172">
        <v>0.33</v>
      </c>
      <c r="AE22" s="172">
        <v>0.1</v>
      </c>
      <c r="AO22" s="171"/>
      <c r="AP22" s="171"/>
      <c r="AQ22" s="171"/>
      <c r="AR22" s="171"/>
      <c r="AS22" s="171"/>
      <c r="AT22" s="171"/>
      <c r="AU22" s="171" t="s">
        <v>183</v>
      </c>
      <c r="AV22" s="179">
        <v>9</v>
      </c>
      <c r="AW22" s="179">
        <v>12</v>
      </c>
      <c r="AX22" s="179"/>
      <c r="AY22" s="179">
        <v>42</v>
      </c>
      <c r="AZ22" s="179">
        <v>9</v>
      </c>
      <c r="BC22" s="179"/>
      <c r="BD22" s="179"/>
      <c r="BE22" s="179"/>
      <c r="BF22" s="179"/>
      <c r="BG22" s="179"/>
      <c r="BH22" s="179"/>
      <c r="BI22" s="179"/>
      <c r="BJ22" s="179"/>
      <c r="BK22" s="179"/>
      <c r="BL22" s="181"/>
      <c r="BM22" s="181"/>
    </row>
    <row r="23" spans="1:65">
      <c r="B23" s="173">
        <v>2024</v>
      </c>
      <c r="C23" s="175">
        <v>17</v>
      </c>
      <c r="E23" s="173" t="s">
        <v>230</v>
      </c>
      <c r="F23" s="173" t="s">
        <v>251</v>
      </c>
      <c r="G23" s="173" t="s">
        <v>245</v>
      </c>
      <c r="H23" s="173" t="s">
        <v>250</v>
      </c>
      <c r="I23" s="173" t="s">
        <v>197</v>
      </c>
      <c r="J23" s="172">
        <v>57</v>
      </c>
      <c r="K23" s="172">
        <v>57</v>
      </c>
      <c r="L23" s="172">
        <v>49</v>
      </c>
      <c r="M23" s="172">
        <v>43</v>
      </c>
      <c r="N23" s="172">
        <v>41</v>
      </c>
      <c r="O23" s="172">
        <v>38</v>
      </c>
      <c r="P23" s="172">
        <v>35</v>
      </c>
      <c r="Q23" s="172">
        <v>41</v>
      </c>
      <c r="R23" s="172">
        <v>44</v>
      </c>
      <c r="S23" s="172">
        <v>34</v>
      </c>
      <c r="T23" s="172">
        <v>86</v>
      </c>
      <c r="U23" s="172">
        <v>106</v>
      </c>
      <c r="V23" s="172">
        <v>70</v>
      </c>
      <c r="W23" s="172">
        <v>84</v>
      </c>
      <c r="X23" s="172">
        <v>4</v>
      </c>
      <c r="Y23" s="172">
        <v>10.7</v>
      </c>
      <c r="Z23" s="172">
        <v>10.7</v>
      </c>
      <c r="AA23" s="172">
        <v>10.9</v>
      </c>
      <c r="AB23" s="172">
        <v>10.9</v>
      </c>
      <c r="AC23" s="172">
        <v>4</v>
      </c>
      <c r="AD23" s="172">
        <v>0.33</v>
      </c>
      <c r="AE23" s="172">
        <v>0.1</v>
      </c>
      <c r="AO23" s="171"/>
      <c r="AP23" s="171"/>
      <c r="AQ23" s="171"/>
      <c r="AR23" s="171"/>
      <c r="AS23" s="171"/>
      <c r="AT23" s="171"/>
      <c r="AU23" s="171" t="s">
        <v>183</v>
      </c>
      <c r="AV23" s="179">
        <v>9</v>
      </c>
      <c r="AW23" s="179">
        <v>12</v>
      </c>
      <c r="AX23" s="179"/>
      <c r="AY23" s="179">
        <v>42</v>
      </c>
      <c r="AZ23" s="179">
        <v>9</v>
      </c>
      <c r="BC23" s="179"/>
      <c r="BD23" s="179"/>
      <c r="BE23" s="179"/>
      <c r="BF23" s="179"/>
      <c r="BG23" s="179"/>
      <c r="BH23" s="179"/>
      <c r="BI23" s="179"/>
      <c r="BJ23" s="179"/>
      <c r="BK23" s="179"/>
      <c r="BL23" s="181"/>
      <c r="BM23" s="181"/>
    </row>
    <row r="24" spans="1:65">
      <c r="A24" s="173" t="s">
        <v>213</v>
      </c>
      <c r="B24" s="173">
        <v>2024</v>
      </c>
      <c r="C24" s="175">
        <v>18</v>
      </c>
      <c r="D24" s="174" t="s">
        <v>216</v>
      </c>
      <c r="E24" s="173" t="s">
        <v>234</v>
      </c>
      <c r="F24" s="173" t="s">
        <v>195</v>
      </c>
      <c r="G24" s="173" t="s">
        <v>199</v>
      </c>
      <c r="H24" s="173" t="s">
        <v>246</v>
      </c>
      <c r="I24" s="173" t="s">
        <v>221</v>
      </c>
      <c r="J24" s="172">
        <v>57</v>
      </c>
      <c r="K24" s="172">
        <v>54</v>
      </c>
      <c r="M24" s="172">
        <v>42</v>
      </c>
      <c r="N24" s="172">
        <v>37</v>
      </c>
      <c r="P24" s="172">
        <v>34</v>
      </c>
      <c r="Q24" s="172">
        <v>41</v>
      </c>
      <c r="S24" s="172">
        <v>29</v>
      </c>
      <c r="T24" s="172">
        <v>84</v>
      </c>
      <c r="U24" s="172">
        <v>108</v>
      </c>
      <c r="V24" s="172">
        <v>61</v>
      </c>
      <c r="W24" s="172">
        <v>71</v>
      </c>
      <c r="X24" s="172">
        <v>12</v>
      </c>
      <c r="Y24" s="172">
        <v>10.8</v>
      </c>
      <c r="Z24" s="172">
        <v>10.8</v>
      </c>
      <c r="AA24" s="172">
        <v>11</v>
      </c>
      <c r="AB24" s="172">
        <v>11</v>
      </c>
      <c r="AC24" s="172">
        <v>4.0999999999999996</v>
      </c>
      <c r="AD24" s="172">
        <v>0.33</v>
      </c>
      <c r="AE24" s="172">
        <v>0.1</v>
      </c>
      <c r="AO24" s="171"/>
      <c r="AP24" s="171"/>
      <c r="AQ24" s="171"/>
      <c r="AR24" s="171"/>
      <c r="AS24" s="171"/>
      <c r="AT24" s="171"/>
      <c r="AU24" s="171" t="s">
        <v>183</v>
      </c>
      <c r="AV24" s="179">
        <v>16</v>
      </c>
      <c r="AW24" s="179">
        <v>17</v>
      </c>
      <c r="AX24" s="179"/>
      <c r="AY24" s="179">
        <v>34</v>
      </c>
      <c r="AZ24" s="179">
        <v>14</v>
      </c>
      <c r="BC24" s="179"/>
      <c r="BD24" s="179"/>
      <c r="BE24" s="179"/>
      <c r="BF24" s="179"/>
      <c r="BG24" s="179"/>
      <c r="BH24" s="179"/>
      <c r="BI24" s="179"/>
      <c r="BJ24" s="179"/>
      <c r="BK24" s="179"/>
      <c r="BL24" s="181"/>
      <c r="BM24" s="181"/>
    </row>
    <row r="25" spans="1:65">
      <c r="A25" s="173" t="s">
        <v>213</v>
      </c>
      <c r="B25" s="173">
        <v>2024</v>
      </c>
      <c r="C25" s="175">
        <v>19</v>
      </c>
      <c r="D25" s="174" t="s">
        <v>216</v>
      </c>
      <c r="E25" s="173" t="s">
        <v>234</v>
      </c>
      <c r="F25" s="173" t="s">
        <v>195</v>
      </c>
      <c r="G25" s="173" t="s">
        <v>199</v>
      </c>
      <c r="H25" s="173" t="s">
        <v>246</v>
      </c>
      <c r="I25" s="173" t="s">
        <v>242</v>
      </c>
      <c r="J25" s="172">
        <v>60</v>
      </c>
      <c r="K25" s="172">
        <v>56</v>
      </c>
      <c r="M25" s="172">
        <v>44</v>
      </c>
      <c r="N25" s="172">
        <v>38</v>
      </c>
      <c r="P25" s="172">
        <v>37</v>
      </c>
      <c r="Q25" s="172">
        <v>41</v>
      </c>
      <c r="S25" s="172">
        <v>31</v>
      </c>
      <c r="T25" s="172">
        <v>78</v>
      </c>
      <c r="U25" s="172">
        <v>98</v>
      </c>
      <c r="V25" s="172">
        <v>55</v>
      </c>
      <c r="W25" s="172">
        <v>67</v>
      </c>
      <c r="X25" s="172">
        <v>12</v>
      </c>
      <c r="Y25" s="172">
        <v>10.8</v>
      </c>
      <c r="Z25" s="172">
        <v>10.8</v>
      </c>
      <c r="AA25" s="172">
        <v>11</v>
      </c>
      <c r="AB25" s="172">
        <v>11</v>
      </c>
      <c r="AC25" s="172">
        <v>4.0999999999999996</v>
      </c>
      <c r="AD25" s="172">
        <v>0.33</v>
      </c>
      <c r="AE25" s="172">
        <v>0.1</v>
      </c>
      <c r="AO25" s="171"/>
      <c r="AP25" s="171"/>
      <c r="AQ25" s="171"/>
      <c r="AR25" s="171"/>
      <c r="AS25" s="171"/>
      <c r="AT25" s="171"/>
      <c r="AV25" s="179">
        <v>16</v>
      </c>
      <c r="AW25" s="179">
        <v>17</v>
      </c>
      <c r="AX25" s="179"/>
      <c r="AY25" s="179">
        <v>34</v>
      </c>
      <c r="AZ25" s="179">
        <v>14</v>
      </c>
      <c r="BC25" s="179"/>
      <c r="BD25" s="179"/>
      <c r="BE25" s="179"/>
      <c r="BF25" s="179"/>
      <c r="BG25" s="179"/>
      <c r="BH25" s="179"/>
      <c r="BI25" s="179"/>
      <c r="BJ25" s="179"/>
      <c r="BK25" s="179"/>
      <c r="BL25" s="181"/>
      <c r="BM25" s="181"/>
    </row>
    <row r="26" spans="1:65">
      <c r="A26" s="173" t="s">
        <v>213</v>
      </c>
      <c r="B26" s="173">
        <v>2024</v>
      </c>
      <c r="C26" s="175">
        <v>20</v>
      </c>
      <c r="D26" s="174" t="s">
        <v>216</v>
      </c>
      <c r="E26" s="173" t="s">
        <v>234</v>
      </c>
      <c r="F26" s="173" t="s">
        <v>195</v>
      </c>
      <c r="G26" s="173" t="s">
        <v>199</v>
      </c>
      <c r="H26" s="173" t="s">
        <v>246</v>
      </c>
      <c r="I26" s="173" t="s">
        <v>219</v>
      </c>
      <c r="J26" s="172">
        <v>60</v>
      </c>
      <c r="K26" s="172">
        <v>54</v>
      </c>
      <c r="M26" s="172">
        <v>44</v>
      </c>
      <c r="N26" s="172">
        <v>37</v>
      </c>
      <c r="P26" s="172">
        <v>38</v>
      </c>
      <c r="Q26" s="172">
        <v>40</v>
      </c>
      <c r="S26" s="172">
        <v>30</v>
      </c>
      <c r="T26" s="172">
        <v>78</v>
      </c>
      <c r="U26" s="172">
        <v>97</v>
      </c>
      <c r="V26" s="172">
        <v>55</v>
      </c>
      <c r="W26" s="172">
        <v>67</v>
      </c>
      <c r="X26" s="172">
        <v>12</v>
      </c>
      <c r="Y26" s="172">
        <v>10.8</v>
      </c>
      <c r="Z26" s="172">
        <v>10.8</v>
      </c>
      <c r="AA26" s="172">
        <v>11</v>
      </c>
      <c r="AB26" s="172">
        <v>11</v>
      </c>
      <c r="AC26" s="172">
        <v>4.0999999999999996</v>
      </c>
      <c r="AD26" s="172">
        <v>0.33</v>
      </c>
      <c r="AE26" s="172">
        <v>0.1</v>
      </c>
      <c r="AO26" s="171"/>
      <c r="AP26" s="171"/>
      <c r="AQ26" s="171"/>
      <c r="AR26" s="171"/>
      <c r="AS26" s="171"/>
      <c r="AT26" s="171"/>
      <c r="AV26" s="179">
        <v>16</v>
      </c>
      <c r="AW26" s="179">
        <v>17</v>
      </c>
      <c r="AX26" s="179"/>
      <c r="AY26" s="179">
        <v>34</v>
      </c>
      <c r="AZ26" s="179">
        <v>14</v>
      </c>
      <c r="BC26" s="179"/>
      <c r="BD26" s="179"/>
      <c r="BE26" s="179"/>
      <c r="BF26" s="179"/>
      <c r="BG26" s="179"/>
      <c r="BH26" s="179"/>
      <c r="BI26" s="179"/>
      <c r="BJ26" s="179"/>
      <c r="BK26" s="179"/>
      <c r="BL26" s="181"/>
      <c r="BM26" s="181"/>
    </row>
    <row r="27" spans="1:65">
      <c r="A27" s="173" t="s">
        <v>213</v>
      </c>
      <c r="B27" s="173">
        <v>2024</v>
      </c>
      <c r="C27" s="175">
        <v>21</v>
      </c>
      <c r="D27" s="174" t="s">
        <v>216</v>
      </c>
      <c r="E27" s="173" t="s">
        <v>234</v>
      </c>
      <c r="F27" s="173" t="s">
        <v>195</v>
      </c>
      <c r="G27" s="173" t="s">
        <v>199</v>
      </c>
      <c r="H27" s="173" t="s">
        <v>246</v>
      </c>
      <c r="I27" s="173" t="s">
        <v>218</v>
      </c>
      <c r="J27" s="172">
        <v>65</v>
      </c>
      <c r="K27" s="172">
        <v>56</v>
      </c>
      <c r="M27" s="172">
        <v>46</v>
      </c>
      <c r="N27" s="172">
        <v>37</v>
      </c>
      <c r="P27" s="172">
        <v>41</v>
      </c>
      <c r="Q27" s="172">
        <v>40</v>
      </c>
      <c r="S27" s="172">
        <v>33</v>
      </c>
      <c r="T27" s="172">
        <v>84</v>
      </c>
      <c r="U27" s="172">
        <v>105</v>
      </c>
      <c r="V27" s="172">
        <v>57</v>
      </c>
      <c r="W27" s="172">
        <v>69</v>
      </c>
      <c r="X27" s="172">
        <v>10</v>
      </c>
      <c r="Y27" s="172">
        <v>10.8</v>
      </c>
      <c r="Z27" s="172">
        <v>10.8</v>
      </c>
      <c r="AA27" s="172">
        <v>11</v>
      </c>
      <c r="AB27" s="172">
        <v>11</v>
      </c>
      <c r="AC27" s="172">
        <v>4.0999999999999996</v>
      </c>
      <c r="AD27" s="172">
        <v>0.33</v>
      </c>
      <c r="AE27" s="172">
        <v>0.1</v>
      </c>
      <c r="AO27" s="171"/>
      <c r="AP27" s="171"/>
      <c r="AQ27" s="171"/>
      <c r="AR27" s="171"/>
      <c r="AS27" s="171"/>
      <c r="AT27" s="171"/>
      <c r="AU27" s="171" t="s">
        <v>183</v>
      </c>
      <c r="AV27" s="179">
        <v>16</v>
      </c>
      <c r="AW27" s="179">
        <v>17</v>
      </c>
      <c r="AX27" s="179"/>
      <c r="AY27" s="179">
        <v>34</v>
      </c>
      <c r="AZ27" s="179">
        <v>14</v>
      </c>
      <c r="BC27" s="179"/>
      <c r="BD27" s="179"/>
      <c r="BE27" s="179"/>
      <c r="BF27" s="179"/>
      <c r="BG27" s="179"/>
      <c r="BH27" s="179"/>
      <c r="BI27" s="179"/>
      <c r="BJ27" s="179"/>
      <c r="BK27" s="179"/>
      <c r="BL27" s="181"/>
      <c r="BM27" s="181"/>
    </row>
    <row r="28" spans="1:65">
      <c r="A28" s="173" t="s">
        <v>213</v>
      </c>
      <c r="B28" s="173">
        <v>2024</v>
      </c>
      <c r="C28" s="175">
        <v>22</v>
      </c>
      <c r="D28" s="174" t="s">
        <v>235</v>
      </c>
      <c r="E28" s="173" t="s">
        <v>234</v>
      </c>
      <c r="F28" s="173" t="s">
        <v>195</v>
      </c>
      <c r="G28" s="173" t="s">
        <v>199</v>
      </c>
      <c r="H28" s="173" t="s">
        <v>246</v>
      </c>
      <c r="I28" s="173" t="s">
        <v>217</v>
      </c>
      <c r="J28" s="172">
        <v>70</v>
      </c>
      <c r="K28" s="172">
        <v>55</v>
      </c>
      <c r="M28" s="172">
        <v>52</v>
      </c>
      <c r="N28" s="172">
        <v>39</v>
      </c>
      <c r="P28" s="172">
        <v>49</v>
      </c>
      <c r="Q28" s="172">
        <v>42</v>
      </c>
      <c r="S28" s="172">
        <v>34</v>
      </c>
      <c r="T28" s="172">
        <v>88</v>
      </c>
      <c r="U28" s="172">
        <v>111</v>
      </c>
      <c r="V28" s="172">
        <v>63</v>
      </c>
      <c r="W28" s="172">
        <v>77</v>
      </c>
      <c r="X28" s="172">
        <v>10</v>
      </c>
      <c r="Y28" s="172">
        <v>10.8</v>
      </c>
      <c r="Z28" s="172">
        <v>10.8</v>
      </c>
      <c r="AA28" s="172">
        <v>11</v>
      </c>
      <c r="AB28" s="172">
        <v>11</v>
      </c>
      <c r="AC28" s="172">
        <v>4.0999999999999996</v>
      </c>
      <c r="AD28" s="172">
        <v>0.33</v>
      </c>
      <c r="AE28" s="172">
        <v>0.1</v>
      </c>
      <c r="AO28" s="171"/>
      <c r="AP28" s="171"/>
      <c r="AQ28" s="171"/>
      <c r="AR28" s="171"/>
      <c r="AS28" s="171"/>
      <c r="AT28" s="171"/>
      <c r="AU28" s="171" t="s">
        <v>183</v>
      </c>
      <c r="AV28" s="179">
        <v>16</v>
      </c>
      <c r="AW28" s="179">
        <v>17</v>
      </c>
      <c r="AX28" s="179"/>
      <c r="AY28" s="179">
        <v>34</v>
      </c>
      <c r="AZ28" s="179">
        <v>14</v>
      </c>
      <c r="BC28" s="179"/>
      <c r="BD28" s="179"/>
      <c r="BE28" s="179"/>
      <c r="BF28" s="179"/>
      <c r="BG28" s="179"/>
      <c r="BH28" s="179"/>
      <c r="BI28" s="179"/>
      <c r="BJ28" s="179"/>
      <c r="BK28" s="179"/>
      <c r="BL28" s="181"/>
      <c r="BM28" s="181"/>
    </row>
    <row r="29" spans="1:65">
      <c r="A29" s="173" t="s">
        <v>213</v>
      </c>
      <c r="B29" s="173">
        <v>2024</v>
      </c>
      <c r="C29" s="175">
        <v>23</v>
      </c>
      <c r="D29" s="174" t="s">
        <v>235</v>
      </c>
      <c r="E29" s="173" t="s">
        <v>234</v>
      </c>
      <c r="F29" s="173" t="s">
        <v>195</v>
      </c>
      <c r="G29" s="173" t="s">
        <v>199</v>
      </c>
      <c r="H29" s="173" t="s">
        <v>246</v>
      </c>
      <c r="I29" s="173" t="s">
        <v>214</v>
      </c>
      <c r="J29" s="172">
        <v>70</v>
      </c>
      <c r="K29" s="172">
        <v>54</v>
      </c>
      <c r="M29" s="172">
        <v>52</v>
      </c>
      <c r="N29" s="172">
        <v>39</v>
      </c>
      <c r="P29" s="172">
        <v>49</v>
      </c>
      <c r="Q29" s="172">
        <v>41</v>
      </c>
      <c r="S29" s="172">
        <v>33</v>
      </c>
      <c r="T29" s="172">
        <v>86</v>
      </c>
      <c r="U29" s="172">
        <v>109</v>
      </c>
      <c r="V29" s="172">
        <v>62</v>
      </c>
      <c r="W29" s="172">
        <v>75</v>
      </c>
      <c r="X29" s="172">
        <v>10</v>
      </c>
      <c r="Y29" s="172">
        <v>10.8</v>
      </c>
      <c r="Z29" s="172">
        <v>10.8</v>
      </c>
      <c r="AA29" s="172">
        <v>11</v>
      </c>
      <c r="AB29" s="172">
        <v>11</v>
      </c>
      <c r="AC29" s="172">
        <v>4.0999999999999996</v>
      </c>
      <c r="AD29" s="172">
        <v>0.33</v>
      </c>
      <c r="AE29" s="172">
        <v>0.1</v>
      </c>
      <c r="AO29" s="171"/>
      <c r="AP29" s="171"/>
      <c r="AQ29" s="171"/>
      <c r="AR29" s="171"/>
      <c r="AS29" s="171"/>
      <c r="AT29" s="171"/>
      <c r="AU29" s="171" t="s">
        <v>183</v>
      </c>
      <c r="AV29" s="179">
        <v>16</v>
      </c>
      <c r="AW29" s="179">
        <v>17</v>
      </c>
      <c r="AX29" s="179"/>
      <c r="AY29" s="179">
        <v>34</v>
      </c>
      <c r="AZ29" s="179">
        <v>14</v>
      </c>
      <c r="BC29" s="179"/>
      <c r="BD29" s="179"/>
      <c r="BE29" s="179"/>
      <c r="BF29" s="179"/>
      <c r="BG29" s="179"/>
      <c r="BH29" s="179"/>
      <c r="BI29" s="179"/>
      <c r="BJ29" s="179"/>
      <c r="BK29" s="179"/>
      <c r="BL29" s="181"/>
      <c r="BM29" s="181"/>
    </row>
    <row r="30" spans="1:65">
      <c r="A30" s="173" t="s">
        <v>213</v>
      </c>
      <c r="B30" s="173">
        <v>2024</v>
      </c>
      <c r="C30" s="175">
        <v>24</v>
      </c>
      <c r="D30" s="174" t="s">
        <v>248</v>
      </c>
      <c r="E30" s="173" t="s">
        <v>234</v>
      </c>
      <c r="F30" s="173" t="s">
        <v>195</v>
      </c>
      <c r="G30" s="173" t="s">
        <v>199</v>
      </c>
      <c r="H30" s="173" t="s">
        <v>246</v>
      </c>
      <c r="I30" s="173" t="s">
        <v>217</v>
      </c>
      <c r="J30" s="172">
        <v>64</v>
      </c>
      <c r="K30" s="172">
        <v>64</v>
      </c>
      <c r="M30" s="172">
        <v>56</v>
      </c>
      <c r="N30" s="172">
        <v>55</v>
      </c>
      <c r="P30" s="172">
        <v>57</v>
      </c>
      <c r="Q30" s="172">
        <v>57</v>
      </c>
      <c r="S30" s="172">
        <v>35</v>
      </c>
      <c r="T30" s="172">
        <v>94</v>
      </c>
      <c r="U30" s="172">
        <v>123</v>
      </c>
      <c r="V30" s="172">
        <v>79</v>
      </c>
      <c r="W30" s="172">
        <v>93</v>
      </c>
      <c r="X30" s="172">
        <v>4</v>
      </c>
      <c r="Y30" s="172">
        <v>10.8</v>
      </c>
      <c r="Z30" s="172">
        <v>10.8</v>
      </c>
      <c r="AA30" s="172">
        <v>11</v>
      </c>
      <c r="AB30" s="172">
        <v>11</v>
      </c>
      <c r="AC30" s="172">
        <v>4.0999999999999996</v>
      </c>
      <c r="AD30" s="172">
        <v>0.33</v>
      </c>
      <c r="AE30" s="172">
        <v>0.1</v>
      </c>
      <c r="AO30" s="171"/>
      <c r="AP30" s="171"/>
      <c r="AQ30" s="171"/>
      <c r="AR30" s="171"/>
      <c r="AS30" s="171"/>
      <c r="AT30" s="171"/>
      <c r="AU30" s="171" t="s">
        <v>183</v>
      </c>
      <c r="AV30" s="179">
        <v>16</v>
      </c>
      <c r="AW30" s="179">
        <v>17</v>
      </c>
      <c r="AX30" s="179"/>
      <c r="AY30" s="179">
        <v>34</v>
      </c>
      <c r="AZ30" s="179">
        <v>14</v>
      </c>
      <c r="BC30" s="179"/>
      <c r="BD30" s="179"/>
      <c r="BE30" s="179"/>
      <c r="BF30" s="179"/>
      <c r="BG30" s="179"/>
      <c r="BH30" s="179"/>
      <c r="BI30" s="179"/>
      <c r="BJ30" s="179"/>
      <c r="BK30" s="179"/>
      <c r="BL30" s="181"/>
      <c r="BM30" s="181"/>
    </row>
    <row r="31" spans="1:65">
      <c r="A31" s="173" t="s">
        <v>213</v>
      </c>
      <c r="B31" s="173">
        <v>2024</v>
      </c>
      <c r="C31" s="175">
        <v>25</v>
      </c>
      <c r="D31" s="174" t="s">
        <v>248</v>
      </c>
      <c r="E31" s="173" t="s">
        <v>234</v>
      </c>
      <c r="F31" s="173" t="s">
        <v>195</v>
      </c>
      <c r="G31" s="173" t="s">
        <v>199</v>
      </c>
      <c r="H31" s="173" t="s">
        <v>246</v>
      </c>
      <c r="I31" s="173" t="s">
        <v>214</v>
      </c>
      <c r="J31" s="172">
        <v>66</v>
      </c>
      <c r="K31" s="172">
        <v>64</v>
      </c>
      <c r="M31" s="172">
        <v>58</v>
      </c>
      <c r="N31" s="172">
        <v>57</v>
      </c>
      <c r="P31" s="172">
        <v>59</v>
      </c>
      <c r="Q31" s="172">
        <v>59</v>
      </c>
      <c r="S31" s="172">
        <v>36</v>
      </c>
      <c r="T31" s="172">
        <v>96</v>
      </c>
      <c r="U31" s="172">
        <v>123</v>
      </c>
      <c r="V31" s="172">
        <v>82</v>
      </c>
      <c r="W31" s="172">
        <v>76</v>
      </c>
      <c r="X31" s="172">
        <v>5</v>
      </c>
      <c r="Y31" s="172">
        <v>10.8</v>
      </c>
      <c r="Z31" s="172">
        <v>10.8</v>
      </c>
      <c r="AA31" s="172">
        <v>11</v>
      </c>
      <c r="AB31" s="172">
        <v>11</v>
      </c>
      <c r="AC31" s="172">
        <v>4.0999999999999996</v>
      </c>
      <c r="AD31" s="172">
        <v>0.33</v>
      </c>
      <c r="AE31" s="172">
        <v>0.1</v>
      </c>
      <c r="AO31" s="171"/>
      <c r="AP31" s="171"/>
      <c r="AQ31" s="171"/>
      <c r="AR31" s="171"/>
      <c r="AS31" s="171"/>
      <c r="AT31" s="171"/>
      <c r="AU31" s="171" t="s">
        <v>183</v>
      </c>
      <c r="AV31" s="179">
        <v>16</v>
      </c>
      <c r="AW31" s="179">
        <v>17</v>
      </c>
      <c r="AX31" s="179"/>
      <c r="AY31" s="179">
        <v>34</v>
      </c>
      <c r="AZ31" s="179">
        <v>14</v>
      </c>
      <c r="BC31" s="179"/>
      <c r="BD31" s="179"/>
      <c r="BE31" s="179"/>
      <c r="BF31" s="179"/>
      <c r="BG31" s="179"/>
      <c r="BH31" s="179"/>
      <c r="BI31" s="179"/>
      <c r="BJ31" s="179"/>
      <c r="BK31" s="179"/>
      <c r="BL31" s="181"/>
      <c r="BM31" s="181"/>
    </row>
    <row r="32" spans="1:65">
      <c r="A32" s="173" t="s">
        <v>213</v>
      </c>
      <c r="B32" s="173">
        <v>2024</v>
      </c>
      <c r="C32" s="175">
        <v>26</v>
      </c>
      <c r="D32" s="174" t="s">
        <v>216</v>
      </c>
      <c r="E32" s="173" t="s">
        <v>234</v>
      </c>
      <c r="F32" s="173" t="s">
        <v>249</v>
      </c>
      <c r="G32" s="173" t="s">
        <v>199</v>
      </c>
      <c r="H32" s="173" t="s">
        <v>246</v>
      </c>
      <c r="I32" s="173" t="s">
        <v>221</v>
      </c>
      <c r="J32" s="172">
        <v>57</v>
      </c>
      <c r="K32" s="172">
        <v>54</v>
      </c>
      <c r="M32" s="172">
        <v>42</v>
      </c>
      <c r="N32" s="172">
        <v>37</v>
      </c>
      <c r="P32" s="172">
        <v>34</v>
      </c>
      <c r="Q32" s="172">
        <v>41</v>
      </c>
      <c r="S32" s="172">
        <v>29</v>
      </c>
      <c r="T32" s="172">
        <v>84</v>
      </c>
      <c r="U32" s="172">
        <v>108</v>
      </c>
      <c r="V32" s="172">
        <v>61</v>
      </c>
      <c r="W32" s="172">
        <v>71</v>
      </c>
      <c r="X32" s="172">
        <v>12</v>
      </c>
      <c r="Y32" s="172">
        <v>10.8</v>
      </c>
      <c r="Z32" s="172">
        <v>10.8</v>
      </c>
      <c r="AA32" s="172">
        <v>11</v>
      </c>
      <c r="AB32" s="172">
        <v>11</v>
      </c>
      <c r="AC32" s="172">
        <v>4.0999999999999996</v>
      </c>
      <c r="AD32" s="172">
        <v>0.33</v>
      </c>
      <c r="AE32" s="172">
        <v>0.1</v>
      </c>
      <c r="AO32" s="171"/>
      <c r="AP32" s="171"/>
      <c r="AQ32" s="171"/>
      <c r="AR32" s="171"/>
      <c r="AS32" s="171"/>
      <c r="AT32" s="171"/>
      <c r="AU32" s="171" t="s">
        <v>183</v>
      </c>
      <c r="AV32" s="179">
        <v>16</v>
      </c>
      <c r="AW32" s="179">
        <v>17</v>
      </c>
      <c r="AX32" s="179"/>
      <c r="AY32" s="179">
        <v>34</v>
      </c>
      <c r="AZ32" s="179">
        <v>14</v>
      </c>
      <c r="BC32" s="179"/>
      <c r="BD32" s="179"/>
      <c r="BE32" s="179"/>
      <c r="BF32" s="179"/>
      <c r="BG32" s="179"/>
      <c r="BH32" s="179"/>
      <c r="BI32" s="179"/>
      <c r="BJ32" s="179"/>
      <c r="BK32" s="179"/>
      <c r="BL32" s="181"/>
      <c r="BM32" s="181"/>
    </row>
    <row r="33" spans="1:65">
      <c r="A33" s="173" t="s">
        <v>213</v>
      </c>
      <c r="B33" s="173">
        <v>2024</v>
      </c>
      <c r="C33" s="175">
        <v>27</v>
      </c>
      <c r="D33" s="174" t="s">
        <v>216</v>
      </c>
      <c r="E33" s="173" t="s">
        <v>234</v>
      </c>
      <c r="F33" s="173" t="s">
        <v>249</v>
      </c>
      <c r="G33" s="173" t="s">
        <v>199</v>
      </c>
      <c r="H33" s="173" t="s">
        <v>246</v>
      </c>
      <c r="I33" s="173" t="s">
        <v>242</v>
      </c>
      <c r="J33" s="172">
        <v>60</v>
      </c>
      <c r="K33" s="172">
        <v>56</v>
      </c>
      <c r="M33" s="172">
        <v>44</v>
      </c>
      <c r="N33" s="172">
        <v>38</v>
      </c>
      <c r="P33" s="172">
        <v>37</v>
      </c>
      <c r="Q33" s="172">
        <v>41</v>
      </c>
      <c r="S33" s="172">
        <v>31</v>
      </c>
      <c r="T33" s="172">
        <v>78</v>
      </c>
      <c r="U33" s="172">
        <v>98</v>
      </c>
      <c r="V33" s="172">
        <v>55</v>
      </c>
      <c r="W33" s="172">
        <v>67</v>
      </c>
      <c r="X33" s="172">
        <v>12</v>
      </c>
      <c r="Y33" s="172">
        <v>10.8</v>
      </c>
      <c r="Z33" s="172">
        <v>10.8</v>
      </c>
      <c r="AA33" s="172">
        <v>11</v>
      </c>
      <c r="AB33" s="172">
        <v>11</v>
      </c>
      <c r="AC33" s="172">
        <v>4.0999999999999996</v>
      </c>
      <c r="AD33" s="172">
        <v>0.33</v>
      </c>
      <c r="AE33" s="172">
        <v>0.1</v>
      </c>
      <c r="AO33" s="171"/>
      <c r="AP33" s="171"/>
      <c r="AQ33" s="171"/>
      <c r="AR33" s="171"/>
      <c r="AS33" s="171"/>
      <c r="AT33" s="171"/>
      <c r="AV33" s="179">
        <v>16</v>
      </c>
      <c r="AW33" s="179">
        <v>17</v>
      </c>
      <c r="AX33" s="179"/>
      <c r="AY33" s="179">
        <v>34</v>
      </c>
      <c r="AZ33" s="179">
        <v>14</v>
      </c>
      <c r="BC33" s="179"/>
      <c r="BD33" s="179"/>
      <c r="BE33" s="179"/>
      <c r="BF33" s="179"/>
      <c r="BG33" s="179"/>
      <c r="BH33" s="179"/>
      <c r="BI33" s="179"/>
      <c r="BJ33" s="179"/>
      <c r="BK33" s="179"/>
      <c r="BL33" s="181"/>
      <c r="BM33" s="181"/>
    </row>
    <row r="34" spans="1:65">
      <c r="A34" s="173" t="s">
        <v>213</v>
      </c>
      <c r="B34" s="173">
        <v>2024</v>
      </c>
      <c r="C34" s="175">
        <v>28</v>
      </c>
      <c r="D34" s="174" t="s">
        <v>216</v>
      </c>
      <c r="E34" s="173" t="s">
        <v>234</v>
      </c>
      <c r="F34" s="173" t="s">
        <v>249</v>
      </c>
      <c r="G34" s="173" t="s">
        <v>199</v>
      </c>
      <c r="H34" s="173" t="s">
        <v>246</v>
      </c>
      <c r="I34" s="173" t="s">
        <v>219</v>
      </c>
      <c r="J34" s="172">
        <v>60</v>
      </c>
      <c r="K34" s="172">
        <v>54</v>
      </c>
      <c r="M34" s="172">
        <v>44</v>
      </c>
      <c r="N34" s="172">
        <v>37</v>
      </c>
      <c r="P34" s="172">
        <v>38</v>
      </c>
      <c r="Q34" s="172">
        <v>40</v>
      </c>
      <c r="S34" s="172">
        <v>30</v>
      </c>
      <c r="T34" s="172">
        <v>78</v>
      </c>
      <c r="U34" s="172">
        <v>97</v>
      </c>
      <c r="V34" s="172">
        <v>55</v>
      </c>
      <c r="W34" s="172">
        <v>67</v>
      </c>
      <c r="X34" s="172">
        <v>12</v>
      </c>
      <c r="Y34" s="172">
        <v>10.8</v>
      </c>
      <c r="Z34" s="172">
        <v>10.8</v>
      </c>
      <c r="AA34" s="172">
        <v>11</v>
      </c>
      <c r="AB34" s="172">
        <v>11</v>
      </c>
      <c r="AC34" s="172">
        <v>4.0999999999999996</v>
      </c>
      <c r="AD34" s="172">
        <v>0.33</v>
      </c>
      <c r="AE34" s="172">
        <v>0.1</v>
      </c>
      <c r="AO34" s="171"/>
      <c r="AP34" s="171"/>
      <c r="AQ34" s="171"/>
      <c r="AR34" s="171"/>
      <c r="AS34" s="171"/>
      <c r="AT34" s="171"/>
      <c r="AV34" s="179">
        <v>16</v>
      </c>
      <c r="AW34" s="179">
        <v>17</v>
      </c>
      <c r="AX34" s="179"/>
      <c r="AY34" s="179">
        <v>34</v>
      </c>
      <c r="AZ34" s="179">
        <v>14</v>
      </c>
      <c r="BC34" s="179"/>
      <c r="BD34" s="179"/>
      <c r="BE34" s="179"/>
      <c r="BF34" s="179"/>
      <c r="BG34" s="179"/>
      <c r="BH34" s="179"/>
      <c r="BI34" s="179"/>
      <c r="BJ34" s="179"/>
      <c r="BK34" s="179"/>
      <c r="BL34" s="181"/>
      <c r="BM34" s="181"/>
    </row>
    <row r="35" spans="1:65">
      <c r="A35" s="173" t="s">
        <v>213</v>
      </c>
      <c r="B35" s="173">
        <v>2024</v>
      </c>
      <c r="C35" s="175">
        <v>29</v>
      </c>
      <c r="D35" s="174" t="s">
        <v>216</v>
      </c>
      <c r="E35" s="173" t="s">
        <v>234</v>
      </c>
      <c r="F35" s="173" t="s">
        <v>249</v>
      </c>
      <c r="G35" s="173" t="s">
        <v>199</v>
      </c>
      <c r="H35" s="173" t="s">
        <v>246</v>
      </c>
      <c r="I35" s="173" t="s">
        <v>218</v>
      </c>
      <c r="J35" s="172">
        <v>65</v>
      </c>
      <c r="K35" s="172">
        <v>56</v>
      </c>
      <c r="M35" s="172">
        <v>46</v>
      </c>
      <c r="N35" s="172">
        <v>37</v>
      </c>
      <c r="P35" s="172">
        <v>41</v>
      </c>
      <c r="Q35" s="172">
        <v>40</v>
      </c>
      <c r="S35" s="172">
        <v>33</v>
      </c>
      <c r="T35" s="172">
        <v>84</v>
      </c>
      <c r="U35" s="172">
        <v>105</v>
      </c>
      <c r="V35" s="172">
        <v>57</v>
      </c>
      <c r="W35" s="172">
        <v>69</v>
      </c>
      <c r="X35" s="172">
        <v>10</v>
      </c>
      <c r="Y35" s="172">
        <v>10.8</v>
      </c>
      <c r="Z35" s="172">
        <v>10.8</v>
      </c>
      <c r="AA35" s="172">
        <v>11</v>
      </c>
      <c r="AB35" s="172">
        <v>11</v>
      </c>
      <c r="AC35" s="172">
        <v>4.0999999999999996</v>
      </c>
      <c r="AD35" s="172">
        <v>0.33</v>
      </c>
      <c r="AE35" s="172">
        <v>0.1</v>
      </c>
      <c r="AO35" s="171"/>
      <c r="AP35" s="171"/>
      <c r="AQ35" s="171"/>
      <c r="AR35" s="171"/>
      <c r="AS35" s="171"/>
      <c r="AT35" s="171"/>
      <c r="AU35" s="171" t="s">
        <v>183</v>
      </c>
      <c r="AV35" s="179">
        <v>16</v>
      </c>
      <c r="AW35" s="179">
        <v>17</v>
      </c>
      <c r="AX35" s="179"/>
      <c r="AY35" s="179">
        <v>34</v>
      </c>
      <c r="AZ35" s="179">
        <v>14</v>
      </c>
      <c r="BC35" s="179"/>
      <c r="BD35" s="179"/>
      <c r="BE35" s="179"/>
      <c r="BF35" s="179"/>
      <c r="BG35" s="179"/>
      <c r="BH35" s="179"/>
      <c r="BI35" s="179"/>
      <c r="BJ35" s="179"/>
      <c r="BK35" s="179"/>
      <c r="BL35" s="181"/>
      <c r="BM35" s="181"/>
    </row>
    <row r="36" spans="1:65">
      <c r="A36" s="173" t="s">
        <v>213</v>
      </c>
      <c r="B36" s="173">
        <v>2024</v>
      </c>
      <c r="C36" s="175">
        <v>30</v>
      </c>
      <c r="D36" s="174" t="s">
        <v>235</v>
      </c>
      <c r="E36" s="173" t="s">
        <v>234</v>
      </c>
      <c r="F36" s="173" t="s">
        <v>249</v>
      </c>
      <c r="G36" s="173" t="s">
        <v>199</v>
      </c>
      <c r="H36" s="173" t="s">
        <v>246</v>
      </c>
      <c r="I36" s="173" t="s">
        <v>217</v>
      </c>
      <c r="J36" s="172">
        <v>70</v>
      </c>
      <c r="K36" s="172">
        <v>55</v>
      </c>
      <c r="M36" s="172">
        <v>52</v>
      </c>
      <c r="N36" s="172">
        <v>39</v>
      </c>
      <c r="P36" s="172">
        <v>49</v>
      </c>
      <c r="Q36" s="172">
        <v>42</v>
      </c>
      <c r="S36" s="172">
        <v>34</v>
      </c>
      <c r="T36" s="172">
        <v>88</v>
      </c>
      <c r="U36" s="172">
        <v>111</v>
      </c>
      <c r="V36" s="172">
        <v>63</v>
      </c>
      <c r="W36" s="172">
        <v>77</v>
      </c>
      <c r="X36" s="172">
        <v>10</v>
      </c>
      <c r="Y36" s="172">
        <v>10.8</v>
      </c>
      <c r="Z36" s="172">
        <v>10.8</v>
      </c>
      <c r="AA36" s="172">
        <v>11</v>
      </c>
      <c r="AB36" s="172">
        <v>11</v>
      </c>
      <c r="AC36" s="172">
        <v>4.0999999999999996</v>
      </c>
      <c r="AD36" s="172">
        <v>0.33</v>
      </c>
      <c r="AE36" s="172">
        <v>0.1</v>
      </c>
      <c r="AO36" s="171"/>
      <c r="AP36" s="171"/>
      <c r="AQ36" s="171"/>
      <c r="AR36" s="171"/>
      <c r="AS36" s="171"/>
      <c r="AT36" s="171"/>
      <c r="AU36" s="171" t="s">
        <v>183</v>
      </c>
      <c r="AV36" s="179">
        <v>16</v>
      </c>
      <c r="AW36" s="179">
        <v>17</v>
      </c>
      <c r="AX36" s="179"/>
      <c r="AY36" s="179">
        <v>34</v>
      </c>
      <c r="AZ36" s="179">
        <v>14</v>
      </c>
      <c r="BC36" s="179"/>
      <c r="BD36" s="179"/>
      <c r="BE36" s="179"/>
      <c r="BF36" s="179"/>
      <c r="BG36" s="179"/>
      <c r="BH36" s="179"/>
      <c r="BI36" s="179"/>
      <c r="BJ36" s="179"/>
      <c r="BK36" s="179"/>
      <c r="BL36" s="181"/>
      <c r="BM36" s="181"/>
    </row>
    <row r="37" spans="1:65">
      <c r="A37" s="173" t="s">
        <v>213</v>
      </c>
      <c r="B37" s="173">
        <v>2024</v>
      </c>
      <c r="C37" s="175">
        <v>31</v>
      </c>
      <c r="D37" s="174" t="s">
        <v>235</v>
      </c>
      <c r="E37" s="173" t="s">
        <v>234</v>
      </c>
      <c r="F37" s="173" t="s">
        <v>249</v>
      </c>
      <c r="G37" s="173" t="s">
        <v>199</v>
      </c>
      <c r="H37" s="173" t="s">
        <v>246</v>
      </c>
      <c r="I37" s="173" t="s">
        <v>214</v>
      </c>
      <c r="J37" s="172">
        <v>70</v>
      </c>
      <c r="K37" s="172">
        <v>54</v>
      </c>
      <c r="M37" s="172">
        <v>52</v>
      </c>
      <c r="N37" s="172">
        <v>39</v>
      </c>
      <c r="P37" s="172">
        <v>49</v>
      </c>
      <c r="Q37" s="172">
        <v>41</v>
      </c>
      <c r="S37" s="172">
        <v>33</v>
      </c>
      <c r="T37" s="172">
        <v>86</v>
      </c>
      <c r="U37" s="172">
        <v>109</v>
      </c>
      <c r="V37" s="172">
        <v>62</v>
      </c>
      <c r="W37" s="172">
        <v>75</v>
      </c>
      <c r="X37" s="172">
        <v>10</v>
      </c>
      <c r="Y37" s="172">
        <v>10.8</v>
      </c>
      <c r="Z37" s="172">
        <v>10.8</v>
      </c>
      <c r="AA37" s="172">
        <v>11</v>
      </c>
      <c r="AB37" s="172">
        <v>11</v>
      </c>
      <c r="AC37" s="172">
        <v>4.0999999999999996</v>
      </c>
      <c r="AD37" s="172">
        <v>0.33</v>
      </c>
      <c r="AE37" s="172">
        <v>0.1</v>
      </c>
      <c r="AO37" s="171"/>
      <c r="AP37" s="171"/>
      <c r="AQ37" s="171"/>
      <c r="AR37" s="171"/>
      <c r="AS37" s="171"/>
      <c r="AT37" s="171"/>
      <c r="AU37" s="171" t="s">
        <v>183</v>
      </c>
      <c r="AV37" s="179">
        <v>16</v>
      </c>
      <c r="AW37" s="179">
        <v>17</v>
      </c>
      <c r="AX37" s="179"/>
      <c r="AY37" s="179">
        <v>34</v>
      </c>
      <c r="AZ37" s="179">
        <v>14</v>
      </c>
      <c r="BC37" s="179"/>
      <c r="BD37" s="179"/>
      <c r="BE37" s="179"/>
      <c r="BF37" s="179"/>
      <c r="BG37" s="179"/>
      <c r="BH37" s="179"/>
      <c r="BI37" s="179"/>
      <c r="BJ37" s="179"/>
      <c r="BK37" s="179"/>
      <c r="BL37" s="181"/>
      <c r="BM37" s="181"/>
    </row>
    <row r="38" spans="1:65">
      <c r="A38" s="173" t="s">
        <v>213</v>
      </c>
      <c r="B38" s="173">
        <v>2024</v>
      </c>
      <c r="C38" s="175">
        <v>32</v>
      </c>
      <c r="D38" s="174" t="s">
        <v>248</v>
      </c>
      <c r="E38" s="173" t="s">
        <v>234</v>
      </c>
      <c r="F38" s="173" t="s">
        <v>249</v>
      </c>
      <c r="G38" s="173" t="s">
        <v>199</v>
      </c>
      <c r="H38" s="173" t="s">
        <v>246</v>
      </c>
      <c r="I38" s="173" t="s">
        <v>217</v>
      </c>
      <c r="J38" s="172">
        <v>64</v>
      </c>
      <c r="K38" s="172">
        <v>64</v>
      </c>
      <c r="M38" s="172">
        <v>56</v>
      </c>
      <c r="N38" s="172">
        <v>55</v>
      </c>
      <c r="P38" s="172">
        <v>57</v>
      </c>
      <c r="Q38" s="172">
        <v>57</v>
      </c>
      <c r="S38" s="172">
        <v>35</v>
      </c>
      <c r="T38" s="172">
        <v>94</v>
      </c>
      <c r="U38" s="172">
        <v>123</v>
      </c>
      <c r="V38" s="172">
        <v>79</v>
      </c>
      <c r="W38" s="172">
        <v>93</v>
      </c>
      <c r="X38" s="172">
        <v>4</v>
      </c>
      <c r="Y38" s="172">
        <v>10.8</v>
      </c>
      <c r="Z38" s="172">
        <v>10.8</v>
      </c>
      <c r="AA38" s="172">
        <v>11</v>
      </c>
      <c r="AB38" s="172">
        <v>11</v>
      </c>
      <c r="AC38" s="172">
        <v>4.0999999999999996</v>
      </c>
      <c r="AD38" s="172">
        <v>0.33</v>
      </c>
      <c r="AE38" s="172">
        <v>0.1</v>
      </c>
      <c r="AO38" s="171"/>
      <c r="AP38" s="171"/>
      <c r="AQ38" s="171"/>
      <c r="AR38" s="171"/>
      <c r="AS38" s="171"/>
      <c r="AT38" s="171"/>
      <c r="AU38" s="171" t="s">
        <v>183</v>
      </c>
      <c r="AV38" s="179">
        <v>16</v>
      </c>
      <c r="AW38" s="179">
        <v>17</v>
      </c>
      <c r="AX38" s="179"/>
      <c r="AY38" s="179">
        <v>34</v>
      </c>
      <c r="AZ38" s="179">
        <v>14</v>
      </c>
      <c r="BC38" s="179"/>
      <c r="BD38" s="179"/>
      <c r="BE38" s="179"/>
      <c r="BF38" s="179"/>
      <c r="BG38" s="179"/>
      <c r="BH38" s="179"/>
      <c r="BI38" s="179"/>
      <c r="BJ38" s="179"/>
      <c r="BK38" s="179"/>
      <c r="BL38" s="181"/>
      <c r="BM38" s="181"/>
    </row>
    <row r="39" spans="1:65">
      <c r="A39" s="173" t="s">
        <v>213</v>
      </c>
      <c r="B39" s="173">
        <v>2024</v>
      </c>
      <c r="C39" s="175">
        <v>33</v>
      </c>
      <c r="D39" s="174" t="s">
        <v>248</v>
      </c>
      <c r="E39" s="173" t="s">
        <v>234</v>
      </c>
      <c r="F39" s="173" t="s">
        <v>249</v>
      </c>
      <c r="G39" s="173" t="s">
        <v>199</v>
      </c>
      <c r="H39" s="173" t="s">
        <v>246</v>
      </c>
      <c r="I39" s="173" t="s">
        <v>214</v>
      </c>
      <c r="J39" s="172">
        <v>66</v>
      </c>
      <c r="K39" s="172">
        <v>64</v>
      </c>
      <c r="M39" s="172">
        <v>58</v>
      </c>
      <c r="N39" s="172">
        <v>57</v>
      </c>
      <c r="P39" s="172">
        <v>59</v>
      </c>
      <c r="Q39" s="172">
        <v>59</v>
      </c>
      <c r="S39" s="172">
        <v>36</v>
      </c>
      <c r="T39" s="172">
        <v>96</v>
      </c>
      <c r="U39" s="172">
        <v>123</v>
      </c>
      <c r="V39" s="172">
        <v>82</v>
      </c>
      <c r="W39" s="172">
        <v>76</v>
      </c>
      <c r="X39" s="172">
        <v>5</v>
      </c>
      <c r="Y39" s="172">
        <v>10.8</v>
      </c>
      <c r="Z39" s="172">
        <v>10.8</v>
      </c>
      <c r="AA39" s="172">
        <v>11</v>
      </c>
      <c r="AB39" s="172">
        <v>11</v>
      </c>
      <c r="AC39" s="172">
        <v>4.0999999999999996</v>
      </c>
      <c r="AD39" s="172">
        <v>0.33</v>
      </c>
      <c r="AE39" s="172">
        <v>0.1</v>
      </c>
      <c r="AO39" s="171"/>
      <c r="AP39" s="171"/>
      <c r="AQ39" s="171"/>
      <c r="AR39" s="171"/>
      <c r="AS39" s="171"/>
      <c r="AT39" s="171"/>
      <c r="AU39" s="171" t="s">
        <v>183</v>
      </c>
      <c r="AV39" s="179">
        <v>16</v>
      </c>
      <c r="AW39" s="179">
        <v>17</v>
      </c>
      <c r="AX39" s="179"/>
      <c r="AY39" s="179">
        <v>34</v>
      </c>
      <c r="AZ39" s="179">
        <v>14</v>
      </c>
      <c r="BC39" s="179"/>
      <c r="BD39" s="179"/>
      <c r="BE39" s="179"/>
      <c r="BF39" s="179"/>
      <c r="BG39" s="179"/>
      <c r="BH39" s="179"/>
      <c r="BI39" s="179"/>
      <c r="BJ39" s="179"/>
      <c r="BK39" s="179"/>
      <c r="BL39" s="181"/>
      <c r="BM39" s="181"/>
    </row>
    <row r="40" spans="1:65">
      <c r="A40" s="173" t="s">
        <v>213</v>
      </c>
      <c r="B40" s="173">
        <v>2024</v>
      </c>
      <c r="C40" s="175">
        <v>34</v>
      </c>
      <c r="D40" s="174" t="s">
        <v>216</v>
      </c>
      <c r="E40" s="173" t="s">
        <v>234</v>
      </c>
      <c r="F40" s="173" t="s">
        <v>247</v>
      </c>
      <c r="G40" s="173" t="s">
        <v>199</v>
      </c>
      <c r="H40" s="173" t="s">
        <v>246</v>
      </c>
      <c r="I40" s="173" t="s">
        <v>221</v>
      </c>
      <c r="J40" s="172">
        <v>57</v>
      </c>
      <c r="K40" s="172">
        <v>54</v>
      </c>
      <c r="M40" s="172">
        <v>42</v>
      </c>
      <c r="N40" s="172">
        <v>37</v>
      </c>
      <c r="P40" s="172">
        <v>34</v>
      </c>
      <c r="Q40" s="172">
        <v>41</v>
      </c>
      <c r="S40" s="172">
        <v>29</v>
      </c>
      <c r="T40" s="172">
        <v>84</v>
      </c>
      <c r="U40" s="172">
        <v>108</v>
      </c>
      <c r="V40" s="172">
        <v>61</v>
      </c>
      <c r="W40" s="172">
        <v>71</v>
      </c>
      <c r="X40" s="172">
        <v>12</v>
      </c>
      <c r="Y40" s="172">
        <v>10.8</v>
      </c>
      <c r="Z40" s="172">
        <v>10.8</v>
      </c>
      <c r="AA40" s="172">
        <v>11</v>
      </c>
      <c r="AB40" s="172">
        <v>11</v>
      </c>
      <c r="AC40" s="172">
        <v>4.0999999999999996</v>
      </c>
      <c r="AD40" s="172">
        <v>0.33</v>
      </c>
      <c r="AE40" s="172">
        <v>0.1</v>
      </c>
      <c r="AO40" s="171"/>
      <c r="AP40" s="171"/>
      <c r="AQ40" s="171"/>
      <c r="AR40" s="171"/>
      <c r="AS40" s="171"/>
      <c r="AT40" s="171"/>
      <c r="AU40" s="171" t="s">
        <v>183</v>
      </c>
      <c r="AV40" s="179">
        <v>16</v>
      </c>
      <c r="AW40" s="179">
        <v>17</v>
      </c>
      <c r="AX40" s="179"/>
      <c r="AY40" s="179">
        <v>34</v>
      </c>
      <c r="AZ40" s="179">
        <v>14</v>
      </c>
      <c r="BC40" s="179"/>
      <c r="BD40" s="179"/>
      <c r="BE40" s="179"/>
      <c r="BF40" s="179"/>
      <c r="BG40" s="179"/>
      <c r="BH40" s="179"/>
      <c r="BI40" s="179"/>
      <c r="BJ40" s="179"/>
      <c r="BK40" s="179"/>
      <c r="BL40" s="181"/>
      <c r="BM40" s="181"/>
    </row>
    <row r="41" spans="1:65">
      <c r="A41" s="173" t="s">
        <v>213</v>
      </c>
      <c r="B41" s="173">
        <v>2024</v>
      </c>
      <c r="C41" s="175">
        <v>35</v>
      </c>
      <c r="D41" s="174" t="s">
        <v>216</v>
      </c>
      <c r="E41" s="173" t="s">
        <v>234</v>
      </c>
      <c r="F41" s="173" t="s">
        <v>247</v>
      </c>
      <c r="G41" s="173" t="s">
        <v>199</v>
      </c>
      <c r="H41" s="173" t="s">
        <v>246</v>
      </c>
      <c r="I41" s="173" t="s">
        <v>242</v>
      </c>
      <c r="J41" s="172">
        <v>60</v>
      </c>
      <c r="K41" s="172">
        <v>56</v>
      </c>
      <c r="M41" s="172">
        <v>44</v>
      </c>
      <c r="N41" s="172">
        <v>38</v>
      </c>
      <c r="P41" s="172">
        <v>37</v>
      </c>
      <c r="Q41" s="172">
        <v>41</v>
      </c>
      <c r="S41" s="172">
        <v>31</v>
      </c>
      <c r="T41" s="172">
        <v>78</v>
      </c>
      <c r="U41" s="172">
        <v>98</v>
      </c>
      <c r="V41" s="172">
        <v>55</v>
      </c>
      <c r="W41" s="172">
        <v>67</v>
      </c>
      <c r="X41" s="172">
        <v>12</v>
      </c>
      <c r="Y41" s="172">
        <v>10.8</v>
      </c>
      <c r="Z41" s="172">
        <v>10.8</v>
      </c>
      <c r="AA41" s="172">
        <v>11</v>
      </c>
      <c r="AB41" s="172">
        <v>11</v>
      </c>
      <c r="AC41" s="172">
        <v>4.0999999999999996</v>
      </c>
      <c r="AD41" s="172">
        <v>0.33</v>
      </c>
      <c r="AE41" s="172">
        <v>0.1</v>
      </c>
      <c r="AO41" s="171"/>
      <c r="AP41" s="171"/>
      <c r="AQ41" s="171"/>
      <c r="AR41" s="171"/>
      <c r="AS41" s="171"/>
      <c r="AT41" s="171"/>
      <c r="AV41" s="179">
        <v>16</v>
      </c>
      <c r="AW41" s="179">
        <v>17</v>
      </c>
      <c r="AX41" s="179"/>
      <c r="AY41" s="179">
        <v>34</v>
      </c>
      <c r="AZ41" s="179">
        <v>14</v>
      </c>
      <c r="BC41" s="179"/>
      <c r="BD41" s="179"/>
      <c r="BE41" s="179"/>
      <c r="BF41" s="179"/>
      <c r="BG41" s="179"/>
      <c r="BH41" s="179"/>
      <c r="BI41" s="179"/>
      <c r="BJ41" s="179"/>
      <c r="BK41" s="179"/>
      <c r="BL41" s="181"/>
      <c r="BM41" s="181"/>
    </row>
    <row r="42" spans="1:65">
      <c r="A42" s="173" t="s">
        <v>213</v>
      </c>
      <c r="B42" s="173">
        <v>2024</v>
      </c>
      <c r="C42" s="175">
        <v>36</v>
      </c>
      <c r="D42" s="174" t="s">
        <v>216</v>
      </c>
      <c r="E42" s="173" t="s">
        <v>234</v>
      </c>
      <c r="F42" s="173" t="s">
        <v>247</v>
      </c>
      <c r="G42" s="173" t="s">
        <v>199</v>
      </c>
      <c r="H42" s="173" t="s">
        <v>246</v>
      </c>
      <c r="I42" s="173" t="s">
        <v>219</v>
      </c>
      <c r="J42" s="172">
        <v>60</v>
      </c>
      <c r="K42" s="172">
        <v>54</v>
      </c>
      <c r="M42" s="172">
        <v>44</v>
      </c>
      <c r="N42" s="172">
        <v>37</v>
      </c>
      <c r="P42" s="172">
        <v>38</v>
      </c>
      <c r="Q42" s="172">
        <v>40</v>
      </c>
      <c r="S42" s="172">
        <v>30</v>
      </c>
      <c r="T42" s="172">
        <v>78</v>
      </c>
      <c r="U42" s="172">
        <v>97</v>
      </c>
      <c r="V42" s="172">
        <v>55</v>
      </c>
      <c r="W42" s="172">
        <v>67</v>
      </c>
      <c r="X42" s="172">
        <v>12</v>
      </c>
      <c r="Y42" s="172">
        <v>10.8</v>
      </c>
      <c r="Z42" s="172">
        <v>10.8</v>
      </c>
      <c r="AA42" s="172">
        <v>11</v>
      </c>
      <c r="AB42" s="172">
        <v>11</v>
      </c>
      <c r="AC42" s="172">
        <v>4.0999999999999996</v>
      </c>
      <c r="AD42" s="172">
        <v>0.33</v>
      </c>
      <c r="AE42" s="172">
        <v>0.1</v>
      </c>
      <c r="AO42" s="171"/>
      <c r="AP42" s="171"/>
      <c r="AQ42" s="171"/>
      <c r="AR42" s="171"/>
      <c r="AS42" s="171"/>
      <c r="AT42" s="171"/>
      <c r="AV42" s="179">
        <v>16</v>
      </c>
      <c r="AW42" s="179">
        <v>17</v>
      </c>
      <c r="AX42" s="179"/>
      <c r="AY42" s="179">
        <v>34</v>
      </c>
      <c r="AZ42" s="179">
        <v>14</v>
      </c>
      <c r="BC42" s="179"/>
      <c r="BD42" s="179"/>
      <c r="BE42" s="179"/>
      <c r="BF42" s="179"/>
      <c r="BG42" s="179"/>
      <c r="BH42" s="179"/>
      <c r="BI42" s="179"/>
      <c r="BJ42" s="179"/>
      <c r="BK42" s="179"/>
      <c r="BL42" s="181"/>
      <c r="BM42" s="181"/>
    </row>
    <row r="43" spans="1:65">
      <c r="A43" s="173" t="s">
        <v>213</v>
      </c>
      <c r="B43" s="173">
        <v>2024</v>
      </c>
      <c r="C43" s="175">
        <v>37</v>
      </c>
      <c r="D43" s="174" t="s">
        <v>216</v>
      </c>
      <c r="E43" s="173" t="s">
        <v>234</v>
      </c>
      <c r="F43" s="173" t="s">
        <v>247</v>
      </c>
      <c r="G43" s="173" t="s">
        <v>199</v>
      </c>
      <c r="H43" s="173" t="s">
        <v>246</v>
      </c>
      <c r="I43" s="173" t="s">
        <v>218</v>
      </c>
      <c r="J43" s="172">
        <v>65</v>
      </c>
      <c r="K43" s="172">
        <v>56</v>
      </c>
      <c r="M43" s="172">
        <v>46</v>
      </c>
      <c r="N43" s="172">
        <v>37</v>
      </c>
      <c r="P43" s="172">
        <v>41</v>
      </c>
      <c r="Q43" s="172">
        <v>40</v>
      </c>
      <c r="S43" s="172">
        <v>33</v>
      </c>
      <c r="T43" s="172">
        <v>84</v>
      </c>
      <c r="U43" s="172">
        <v>105</v>
      </c>
      <c r="V43" s="172">
        <v>57</v>
      </c>
      <c r="W43" s="172">
        <v>69</v>
      </c>
      <c r="X43" s="172">
        <v>10</v>
      </c>
      <c r="Y43" s="172">
        <v>10.8</v>
      </c>
      <c r="Z43" s="172">
        <v>10.8</v>
      </c>
      <c r="AA43" s="172">
        <v>11</v>
      </c>
      <c r="AB43" s="172">
        <v>11</v>
      </c>
      <c r="AC43" s="172">
        <v>4.0999999999999996</v>
      </c>
      <c r="AD43" s="172">
        <v>0.33</v>
      </c>
      <c r="AE43" s="172">
        <v>0.1</v>
      </c>
      <c r="AO43" s="171"/>
      <c r="AP43" s="171"/>
      <c r="AQ43" s="171"/>
      <c r="AR43" s="171"/>
      <c r="AS43" s="171"/>
      <c r="AT43" s="171"/>
      <c r="AU43" s="171" t="s">
        <v>183</v>
      </c>
      <c r="AV43" s="179">
        <v>16</v>
      </c>
      <c r="AW43" s="179">
        <v>17</v>
      </c>
      <c r="AX43" s="179"/>
      <c r="AY43" s="179">
        <v>34</v>
      </c>
      <c r="AZ43" s="179">
        <v>14</v>
      </c>
      <c r="BC43" s="179"/>
      <c r="BD43" s="179"/>
      <c r="BE43" s="179"/>
      <c r="BF43" s="179"/>
      <c r="BG43" s="179"/>
      <c r="BH43" s="179"/>
      <c r="BI43" s="179"/>
      <c r="BJ43" s="179"/>
      <c r="BK43" s="179"/>
      <c r="BL43" s="181"/>
      <c r="BM43" s="181"/>
    </row>
    <row r="44" spans="1:65">
      <c r="A44" s="173" t="s">
        <v>213</v>
      </c>
      <c r="B44" s="173">
        <v>2024</v>
      </c>
      <c r="C44" s="175">
        <v>38</v>
      </c>
      <c r="D44" s="174" t="s">
        <v>235</v>
      </c>
      <c r="E44" s="173" t="s">
        <v>234</v>
      </c>
      <c r="F44" s="173" t="s">
        <v>247</v>
      </c>
      <c r="G44" s="173" t="s">
        <v>199</v>
      </c>
      <c r="H44" s="173" t="s">
        <v>246</v>
      </c>
      <c r="I44" s="173" t="s">
        <v>217</v>
      </c>
      <c r="J44" s="172">
        <v>70</v>
      </c>
      <c r="K44" s="172">
        <v>55</v>
      </c>
      <c r="M44" s="172">
        <v>52</v>
      </c>
      <c r="N44" s="172">
        <v>39</v>
      </c>
      <c r="P44" s="172">
        <v>49</v>
      </c>
      <c r="Q44" s="172">
        <v>42</v>
      </c>
      <c r="S44" s="172">
        <v>34</v>
      </c>
      <c r="T44" s="172">
        <v>88</v>
      </c>
      <c r="U44" s="172">
        <v>111</v>
      </c>
      <c r="V44" s="172">
        <v>63</v>
      </c>
      <c r="W44" s="172">
        <v>77</v>
      </c>
      <c r="X44" s="172">
        <v>10</v>
      </c>
      <c r="Y44" s="172">
        <v>10.8</v>
      </c>
      <c r="Z44" s="172">
        <v>10.8</v>
      </c>
      <c r="AA44" s="172">
        <v>11</v>
      </c>
      <c r="AB44" s="172">
        <v>11</v>
      </c>
      <c r="AC44" s="172">
        <v>4.0999999999999996</v>
      </c>
      <c r="AD44" s="172">
        <v>0.33</v>
      </c>
      <c r="AE44" s="172">
        <v>0.1</v>
      </c>
      <c r="AO44" s="171"/>
      <c r="AP44" s="171"/>
      <c r="AQ44" s="171"/>
      <c r="AR44" s="171"/>
      <c r="AS44" s="171"/>
      <c r="AT44" s="171"/>
      <c r="AU44" s="171" t="s">
        <v>183</v>
      </c>
      <c r="AV44" s="179">
        <v>16</v>
      </c>
      <c r="AW44" s="179">
        <v>17</v>
      </c>
      <c r="AX44" s="179"/>
      <c r="AY44" s="179">
        <v>34</v>
      </c>
      <c r="AZ44" s="179">
        <v>14</v>
      </c>
      <c r="BC44" s="179"/>
      <c r="BD44" s="179"/>
      <c r="BE44" s="179"/>
      <c r="BF44" s="179"/>
      <c r="BG44" s="179"/>
      <c r="BH44" s="179"/>
      <c r="BI44" s="179"/>
      <c r="BJ44" s="179"/>
      <c r="BK44" s="179"/>
      <c r="BL44" s="181"/>
      <c r="BM44" s="181"/>
    </row>
    <row r="45" spans="1:65">
      <c r="A45" s="173" t="s">
        <v>213</v>
      </c>
      <c r="B45" s="173">
        <v>2024</v>
      </c>
      <c r="C45" s="175">
        <v>39</v>
      </c>
      <c r="D45" s="174" t="s">
        <v>235</v>
      </c>
      <c r="E45" s="173" t="s">
        <v>234</v>
      </c>
      <c r="F45" s="173" t="s">
        <v>247</v>
      </c>
      <c r="G45" s="173" t="s">
        <v>199</v>
      </c>
      <c r="H45" s="173" t="s">
        <v>246</v>
      </c>
      <c r="I45" s="173" t="s">
        <v>214</v>
      </c>
      <c r="J45" s="172">
        <v>70</v>
      </c>
      <c r="K45" s="172">
        <v>54</v>
      </c>
      <c r="M45" s="172">
        <v>52</v>
      </c>
      <c r="N45" s="172">
        <v>39</v>
      </c>
      <c r="P45" s="172">
        <v>49</v>
      </c>
      <c r="Q45" s="172">
        <v>41</v>
      </c>
      <c r="S45" s="172">
        <v>33</v>
      </c>
      <c r="T45" s="172">
        <v>86</v>
      </c>
      <c r="U45" s="172">
        <v>109</v>
      </c>
      <c r="V45" s="172">
        <v>62</v>
      </c>
      <c r="W45" s="172">
        <v>75</v>
      </c>
      <c r="X45" s="172">
        <v>10</v>
      </c>
      <c r="Y45" s="172">
        <v>10.8</v>
      </c>
      <c r="Z45" s="172">
        <v>10.8</v>
      </c>
      <c r="AA45" s="172">
        <v>11</v>
      </c>
      <c r="AB45" s="172">
        <v>11</v>
      </c>
      <c r="AC45" s="172">
        <v>4.0999999999999996</v>
      </c>
      <c r="AD45" s="172">
        <v>0.33</v>
      </c>
      <c r="AE45" s="172">
        <v>0.1</v>
      </c>
      <c r="AO45" s="171"/>
      <c r="AP45" s="171"/>
      <c r="AQ45" s="171"/>
      <c r="AR45" s="171"/>
      <c r="AS45" s="171"/>
      <c r="AT45" s="171"/>
      <c r="AU45" s="171" t="s">
        <v>183</v>
      </c>
      <c r="AV45" s="179">
        <v>16</v>
      </c>
      <c r="AW45" s="179">
        <v>17</v>
      </c>
      <c r="AX45" s="179"/>
      <c r="AY45" s="179">
        <v>34</v>
      </c>
      <c r="AZ45" s="179">
        <v>14</v>
      </c>
      <c r="BC45" s="179"/>
      <c r="BD45" s="179"/>
      <c r="BE45" s="179"/>
      <c r="BF45" s="179"/>
      <c r="BG45" s="179"/>
      <c r="BH45" s="179"/>
      <c r="BI45" s="179"/>
      <c r="BJ45" s="179"/>
      <c r="BK45" s="179"/>
      <c r="BL45" s="181"/>
      <c r="BM45" s="181"/>
    </row>
    <row r="46" spans="1:65">
      <c r="A46" s="173" t="s">
        <v>213</v>
      </c>
      <c r="B46" s="173">
        <v>2024</v>
      </c>
      <c r="C46" s="175">
        <v>40</v>
      </c>
      <c r="D46" s="174" t="s">
        <v>248</v>
      </c>
      <c r="E46" s="173" t="s">
        <v>234</v>
      </c>
      <c r="F46" s="173" t="s">
        <v>247</v>
      </c>
      <c r="G46" s="173" t="s">
        <v>199</v>
      </c>
      <c r="H46" s="173" t="s">
        <v>246</v>
      </c>
      <c r="I46" s="173" t="s">
        <v>217</v>
      </c>
      <c r="J46" s="172">
        <v>64</v>
      </c>
      <c r="K46" s="172">
        <v>64</v>
      </c>
      <c r="M46" s="172">
        <v>56</v>
      </c>
      <c r="N46" s="172">
        <v>55</v>
      </c>
      <c r="P46" s="172">
        <v>57</v>
      </c>
      <c r="Q46" s="172">
        <v>57</v>
      </c>
      <c r="S46" s="172">
        <v>35</v>
      </c>
      <c r="T46" s="172">
        <v>94</v>
      </c>
      <c r="U46" s="172">
        <v>123</v>
      </c>
      <c r="V46" s="172">
        <v>79</v>
      </c>
      <c r="W46" s="172">
        <v>93</v>
      </c>
      <c r="X46" s="172">
        <v>4</v>
      </c>
      <c r="Y46" s="172">
        <v>10.8</v>
      </c>
      <c r="Z46" s="172">
        <v>10.8</v>
      </c>
      <c r="AA46" s="172">
        <v>11</v>
      </c>
      <c r="AB46" s="172">
        <v>11</v>
      </c>
      <c r="AC46" s="172">
        <v>4.0999999999999996</v>
      </c>
      <c r="AD46" s="172">
        <v>0.33</v>
      </c>
      <c r="AE46" s="172">
        <v>0.1</v>
      </c>
      <c r="AO46" s="171"/>
      <c r="AP46" s="171"/>
      <c r="AQ46" s="171"/>
      <c r="AR46" s="171"/>
      <c r="AS46" s="171"/>
      <c r="AT46" s="171"/>
      <c r="AU46" s="171" t="s">
        <v>183</v>
      </c>
      <c r="AV46" s="179">
        <v>16</v>
      </c>
      <c r="AW46" s="179">
        <v>17</v>
      </c>
      <c r="AX46" s="179"/>
      <c r="AY46" s="179">
        <v>34</v>
      </c>
      <c r="AZ46" s="179">
        <v>14</v>
      </c>
      <c r="BC46" s="179"/>
      <c r="BD46" s="179"/>
      <c r="BE46" s="179"/>
      <c r="BF46" s="179"/>
      <c r="BG46" s="179"/>
      <c r="BH46" s="179"/>
      <c r="BI46" s="179"/>
      <c r="BJ46" s="179"/>
      <c r="BK46" s="179"/>
      <c r="BL46" s="181"/>
      <c r="BM46" s="181"/>
    </row>
    <row r="47" spans="1:65">
      <c r="A47" s="173" t="s">
        <v>213</v>
      </c>
      <c r="B47" s="173">
        <v>2024</v>
      </c>
      <c r="C47" s="175">
        <v>41</v>
      </c>
      <c r="D47" s="174" t="s">
        <v>248</v>
      </c>
      <c r="E47" s="173" t="s">
        <v>234</v>
      </c>
      <c r="F47" s="173" t="s">
        <v>247</v>
      </c>
      <c r="G47" s="173" t="s">
        <v>199</v>
      </c>
      <c r="H47" s="173" t="s">
        <v>246</v>
      </c>
      <c r="I47" s="173" t="s">
        <v>214</v>
      </c>
      <c r="J47" s="172">
        <v>66</v>
      </c>
      <c r="K47" s="172">
        <v>64</v>
      </c>
      <c r="M47" s="172">
        <v>58</v>
      </c>
      <c r="N47" s="172">
        <v>57</v>
      </c>
      <c r="P47" s="172">
        <v>59</v>
      </c>
      <c r="Q47" s="172">
        <v>59</v>
      </c>
      <c r="S47" s="172">
        <v>36</v>
      </c>
      <c r="T47" s="172">
        <v>96</v>
      </c>
      <c r="U47" s="172">
        <v>123</v>
      </c>
      <c r="V47" s="172">
        <v>82</v>
      </c>
      <c r="W47" s="172">
        <v>76</v>
      </c>
      <c r="X47" s="172">
        <v>5</v>
      </c>
      <c r="Y47" s="172">
        <v>10.8</v>
      </c>
      <c r="Z47" s="172">
        <v>10.8</v>
      </c>
      <c r="AA47" s="172">
        <v>11</v>
      </c>
      <c r="AB47" s="172">
        <v>11</v>
      </c>
      <c r="AC47" s="172">
        <v>4.0999999999999996</v>
      </c>
      <c r="AD47" s="172">
        <v>0.33</v>
      </c>
      <c r="AE47" s="172">
        <v>0.1</v>
      </c>
      <c r="AO47" s="171"/>
      <c r="AP47" s="171"/>
      <c r="AQ47" s="171"/>
      <c r="AR47" s="171"/>
      <c r="AS47" s="171"/>
      <c r="AT47" s="171"/>
      <c r="AU47" s="171" t="s">
        <v>183</v>
      </c>
      <c r="AV47" s="179">
        <v>16</v>
      </c>
      <c r="AW47" s="179">
        <v>17</v>
      </c>
      <c r="AX47" s="179"/>
      <c r="AY47" s="179">
        <v>34</v>
      </c>
      <c r="AZ47" s="179">
        <v>14</v>
      </c>
      <c r="BC47" s="179"/>
      <c r="BD47" s="179"/>
      <c r="BE47" s="179"/>
      <c r="BF47" s="179"/>
      <c r="BG47" s="179"/>
      <c r="BH47" s="179"/>
      <c r="BI47" s="179"/>
      <c r="BJ47" s="179"/>
      <c r="BK47" s="179"/>
      <c r="BL47" s="181"/>
      <c r="BM47" s="181"/>
    </row>
    <row r="48" spans="1:65">
      <c r="B48" s="173">
        <v>2024</v>
      </c>
      <c r="C48" s="175">
        <v>42</v>
      </c>
      <c r="D48" s="182"/>
      <c r="E48" s="173" t="s">
        <v>230</v>
      </c>
      <c r="F48" s="173" t="s">
        <v>192</v>
      </c>
      <c r="G48" s="173" t="s">
        <v>29</v>
      </c>
      <c r="AO48" s="171">
        <v>4</v>
      </c>
      <c r="AP48" s="171">
        <v>4</v>
      </c>
      <c r="AQ48" s="171">
        <v>6</v>
      </c>
      <c r="AR48" s="171"/>
      <c r="AS48" s="171"/>
      <c r="AT48" s="171"/>
      <c r="BC48" s="179"/>
      <c r="BD48" s="179"/>
      <c r="BE48" s="179"/>
      <c r="BF48" s="179"/>
      <c r="BG48" s="179"/>
      <c r="BH48" s="179"/>
      <c r="BI48" s="179"/>
      <c r="BJ48" s="179"/>
      <c r="BK48" s="179"/>
      <c r="BL48" s="181"/>
      <c r="BM48" s="181"/>
    </row>
    <row r="49" spans="1:65">
      <c r="B49" s="173">
        <v>2024</v>
      </c>
      <c r="C49" s="175">
        <v>43</v>
      </c>
      <c r="E49" s="173" t="s">
        <v>230</v>
      </c>
      <c r="F49" s="173" t="s">
        <v>188</v>
      </c>
      <c r="G49" s="173" t="s">
        <v>245</v>
      </c>
      <c r="H49" s="173" t="s">
        <v>244</v>
      </c>
      <c r="I49" s="173" t="s">
        <v>229</v>
      </c>
      <c r="J49" s="178">
        <v>62</v>
      </c>
      <c r="K49" s="172">
        <v>62</v>
      </c>
      <c r="M49" s="172">
        <v>38</v>
      </c>
      <c r="N49" s="172">
        <v>38</v>
      </c>
      <c r="P49" s="178">
        <v>38</v>
      </c>
      <c r="Q49" s="178">
        <v>38</v>
      </c>
      <c r="S49" s="172">
        <v>37</v>
      </c>
      <c r="T49" s="178">
        <v>93</v>
      </c>
      <c r="U49" s="178">
        <v>118</v>
      </c>
      <c r="V49" s="178">
        <v>53</v>
      </c>
      <c r="W49" s="178">
        <v>61</v>
      </c>
      <c r="X49" s="178">
        <v>12</v>
      </c>
      <c r="Y49" s="172">
        <v>10.5</v>
      </c>
      <c r="Z49" s="172">
        <v>10.5</v>
      </c>
      <c r="AA49" s="172">
        <v>10.7</v>
      </c>
      <c r="AB49" s="172">
        <v>10.7</v>
      </c>
      <c r="AC49" s="172">
        <v>4</v>
      </c>
      <c r="AD49" s="172">
        <v>0.33</v>
      </c>
      <c r="AE49" s="172">
        <v>0.10100000000000001</v>
      </c>
      <c r="AF49" s="170">
        <v>62</v>
      </c>
      <c r="AG49" s="170">
        <v>9.6999999999999993</v>
      </c>
      <c r="AH49" s="170">
        <v>4.2000000000000003E-2</v>
      </c>
      <c r="AI49" s="170">
        <v>60.827337730000004</v>
      </c>
      <c r="AJ49" s="170">
        <v>-4.5838422899999998</v>
      </c>
      <c r="AK49" s="170">
        <v>0.33333016900000001</v>
      </c>
      <c r="AL49" s="170">
        <v>-1.144014E-2</v>
      </c>
      <c r="AM49" s="170">
        <v>1.7132099999999999E-4</v>
      </c>
      <c r="AN49" s="170">
        <f>-9.3322*10^-7</f>
        <v>-9.3321999999999994E-7</v>
      </c>
      <c r="AO49" s="171"/>
      <c r="AP49" s="171"/>
      <c r="AQ49" s="171"/>
      <c r="AR49" s="171"/>
      <c r="AS49" s="171"/>
      <c r="AT49" s="171"/>
      <c r="AV49" s="179">
        <v>17</v>
      </c>
      <c r="AW49" s="179">
        <v>17</v>
      </c>
      <c r="AX49" s="179"/>
      <c r="AY49" s="179">
        <v>23</v>
      </c>
      <c r="AZ49" s="179">
        <v>19</v>
      </c>
      <c r="BC49" s="179"/>
      <c r="BD49" s="179"/>
      <c r="BE49" s="179"/>
      <c r="BF49" s="179"/>
      <c r="BG49" s="179"/>
      <c r="BH49" s="179"/>
      <c r="BI49" s="179"/>
      <c r="BJ49" s="179"/>
      <c r="BK49" s="179"/>
      <c r="BL49" s="181"/>
      <c r="BM49" s="181"/>
    </row>
    <row r="50" spans="1:65">
      <c r="B50" s="173">
        <v>2024</v>
      </c>
      <c r="C50" s="175">
        <v>44</v>
      </c>
      <c r="E50" s="173" t="s">
        <v>230</v>
      </c>
      <c r="F50" s="173" t="s">
        <v>188</v>
      </c>
      <c r="G50" s="173" t="s">
        <v>245</v>
      </c>
      <c r="H50" s="173" t="s">
        <v>244</v>
      </c>
      <c r="I50" s="173" t="s">
        <v>172</v>
      </c>
      <c r="J50" s="178">
        <v>61</v>
      </c>
      <c r="K50" s="172">
        <v>62</v>
      </c>
      <c r="M50" s="172">
        <v>38</v>
      </c>
      <c r="N50" s="172">
        <v>38</v>
      </c>
      <c r="P50" s="178">
        <v>40</v>
      </c>
      <c r="Q50" s="178">
        <v>40</v>
      </c>
      <c r="S50" s="172">
        <v>37</v>
      </c>
      <c r="T50" s="178">
        <v>88</v>
      </c>
      <c r="U50" s="178">
        <v>108</v>
      </c>
      <c r="V50" s="178">
        <v>64</v>
      </c>
      <c r="W50" s="178">
        <v>75</v>
      </c>
      <c r="X50" s="178">
        <v>12</v>
      </c>
      <c r="Y50" s="172">
        <v>10.7</v>
      </c>
      <c r="Z50" s="172">
        <v>10.7</v>
      </c>
      <c r="AA50" s="172">
        <v>10.9</v>
      </c>
      <c r="AB50" s="172">
        <v>10.9</v>
      </c>
      <c r="AC50" s="172">
        <v>4</v>
      </c>
      <c r="AD50" s="172">
        <v>0.33</v>
      </c>
      <c r="AE50" s="172">
        <v>0.10100000000000001</v>
      </c>
      <c r="AO50" s="171"/>
      <c r="AP50" s="171"/>
      <c r="AQ50" s="171"/>
      <c r="AR50" s="171"/>
      <c r="AS50" s="171"/>
      <c r="AT50" s="171"/>
      <c r="AU50" s="171" t="s">
        <v>183</v>
      </c>
      <c r="AV50" s="179">
        <v>17</v>
      </c>
      <c r="AW50" s="179">
        <v>17</v>
      </c>
      <c r="AX50" s="179"/>
      <c r="AY50" s="179">
        <v>23</v>
      </c>
      <c r="AZ50" s="179">
        <v>19</v>
      </c>
      <c r="BC50" s="179"/>
      <c r="BD50" s="179"/>
      <c r="BE50" s="179"/>
      <c r="BF50" s="179"/>
      <c r="BG50" s="179"/>
      <c r="BH50" s="179"/>
      <c r="BI50" s="179"/>
      <c r="BJ50" s="179"/>
      <c r="BK50" s="179"/>
      <c r="BL50" s="181"/>
      <c r="BM50" s="181"/>
    </row>
    <row r="51" spans="1:65">
      <c r="B51" s="173">
        <v>2024</v>
      </c>
      <c r="C51" s="175">
        <v>45</v>
      </c>
      <c r="E51" s="173" t="s">
        <v>230</v>
      </c>
      <c r="F51" s="173" t="s">
        <v>188</v>
      </c>
      <c r="G51" s="173" t="s">
        <v>245</v>
      </c>
      <c r="H51" s="173" t="s">
        <v>244</v>
      </c>
      <c r="I51" s="173" t="s">
        <v>171</v>
      </c>
      <c r="J51" s="178">
        <v>60</v>
      </c>
      <c r="K51" s="172">
        <v>61</v>
      </c>
      <c r="M51" s="172">
        <v>38</v>
      </c>
      <c r="N51" s="172">
        <v>38</v>
      </c>
      <c r="P51" s="178">
        <v>40</v>
      </c>
      <c r="Q51" s="178">
        <v>40</v>
      </c>
      <c r="S51" s="178">
        <v>36</v>
      </c>
      <c r="T51" s="178">
        <v>86</v>
      </c>
      <c r="U51" s="178">
        <v>107</v>
      </c>
      <c r="V51" s="178">
        <v>64</v>
      </c>
      <c r="W51" s="178">
        <v>75</v>
      </c>
      <c r="X51" s="178">
        <v>8</v>
      </c>
      <c r="Y51" s="172">
        <v>10.7</v>
      </c>
      <c r="Z51" s="172">
        <v>10.7</v>
      </c>
      <c r="AA51" s="172">
        <v>10.9</v>
      </c>
      <c r="AB51" s="172">
        <v>10.9</v>
      </c>
      <c r="AC51" s="172">
        <v>4</v>
      </c>
      <c r="AD51" s="172">
        <v>0.33</v>
      </c>
      <c r="AE51" s="172">
        <v>0.1</v>
      </c>
      <c r="AO51" s="171"/>
      <c r="AP51" s="171"/>
      <c r="AQ51" s="171"/>
      <c r="AR51" s="171"/>
      <c r="AS51" s="171"/>
      <c r="AT51" s="171"/>
      <c r="AV51" s="179">
        <v>19</v>
      </c>
      <c r="AW51" s="179">
        <v>19</v>
      </c>
      <c r="AX51" s="179"/>
      <c r="AY51" s="179">
        <v>17</v>
      </c>
      <c r="AZ51" s="179">
        <v>16</v>
      </c>
      <c r="BC51" s="179"/>
      <c r="BD51" s="179"/>
      <c r="BE51" s="179"/>
      <c r="BF51" s="179"/>
      <c r="BG51" s="179"/>
      <c r="BH51" s="179"/>
      <c r="BI51" s="179"/>
      <c r="BJ51" s="179"/>
      <c r="BK51" s="179"/>
      <c r="BL51" s="181"/>
      <c r="BM51" s="181"/>
    </row>
    <row r="52" spans="1:65">
      <c r="B52" s="173">
        <v>2024</v>
      </c>
      <c r="C52" s="175">
        <v>46</v>
      </c>
      <c r="E52" s="173" t="s">
        <v>230</v>
      </c>
      <c r="F52" s="173" t="s">
        <v>188</v>
      </c>
      <c r="G52" s="173" t="s">
        <v>245</v>
      </c>
      <c r="H52" s="173" t="s">
        <v>244</v>
      </c>
      <c r="I52" s="173" t="s">
        <v>170</v>
      </c>
      <c r="J52" s="178">
        <v>59</v>
      </c>
      <c r="K52" s="172">
        <v>60</v>
      </c>
      <c r="M52" s="172">
        <v>38</v>
      </c>
      <c r="N52" s="172">
        <v>38</v>
      </c>
      <c r="P52" s="178">
        <v>40</v>
      </c>
      <c r="Q52" s="178">
        <v>40</v>
      </c>
      <c r="R52" s="178"/>
      <c r="S52" s="178">
        <v>35</v>
      </c>
      <c r="T52" s="178">
        <v>85</v>
      </c>
      <c r="U52" s="178">
        <v>105</v>
      </c>
      <c r="V52" s="178">
        <v>64</v>
      </c>
      <c r="W52" s="178">
        <v>75</v>
      </c>
      <c r="X52" s="178">
        <v>8</v>
      </c>
      <c r="Y52" s="172">
        <v>10.7</v>
      </c>
      <c r="Z52" s="172">
        <v>10.7</v>
      </c>
      <c r="AA52" s="172">
        <v>10.9</v>
      </c>
      <c r="AB52" s="172">
        <v>10.9</v>
      </c>
      <c r="AC52" s="172">
        <v>4</v>
      </c>
      <c r="AD52" s="172">
        <v>0.33</v>
      </c>
      <c r="AE52" s="172">
        <v>0.1</v>
      </c>
      <c r="AO52" s="171"/>
      <c r="AP52" s="171"/>
      <c r="AQ52" s="171"/>
      <c r="AR52" s="171"/>
      <c r="AS52" s="171"/>
      <c r="AT52" s="171"/>
      <c r="AU52" s="171" t="s">
        <v>183</v>
      </c>
      <c r="AV52" s="179">
        <v>19</v>
      </c>
      <c r="AW52" s="179">
        <v>19</v>
      </c>
      <c r="AX52" s="179"/>
      <c r="AY52" s="179">
        <v>17</v>
      </c>
      <c r="AZ52" s="179">
        <v>16</v>
      </c>
      <c r="BC52" s="179"/>
      <c r="BD52" s="179"/>
      <c r="BE52" s="179"/>
      <c r="BF52" s="179"/>
      <c r="BG52" s="179"/>
      <c r="BH52" s="179"/>
      <c r="BI52" s="179"/>
      <c r="BJ52" s="179"/>
      <c r="BK52" s="179"/>
      <c r="BL52" s="181"/>
      <c r="BM52" s="181"/>
    </row>
    <row r="53" spans="1:65">
      <c r="B53" s="173">
        <v>2024</v>
      </c>
      <c r="C53" s="175">
        <v>47</v>
      </c>
      <c r="E53" s="173" t="s">
        <v>230</v>
      </c>
      <c r="F53" s="173" t="s">
        <v>188</v>
      </c>
      <c r="G53" s="173" t="s">
        <v>245</v>
      </c>
      <c r="H53" s="173" t="s">
        <v>244</v>
      </c>
      <c r="I53" s="173" t="s">
        <v>185</v>
      </c>
      <c r="J53" s="178"/>
      <c r="K53" s="172">
        <v>58</v>
      </c>
      <c r="N53" s="172">
        <v>38</v>
      </c>
      <c r="P53" s="172" t="s">
        <v>29</v>
      </c>
      <c r="Q53" s="172" t="s">
        <v>29</v>
      </c>
      <c r="S53" s="172" t="s">
        <v>29</v>
      </c>
      <c r="T53" s="172" t="s">
        <v>29</v>
      </c>
      <c r="U53" s="172" t="s">
        <v>29</v>
      </c>
      <c r="V53" s="172" t="s">
        <v>29</v>
      </c>
      <c r="W53" s="172" t="s">
        <v>29</v>
      </c>
      <c r="X53" s="172">
        <v>4</v>
      </c>
      <c r="Y53" s="172">
        <v>10.7</v>
      </c>
      <c r="Z53" s="172">
        <v>10.7</v>
      </c>
      <c r="AA53" s="172">
        <v>10.9</v>
      </c>
      <c r="AB53" s="172">
        <v>10.9</v>
      </c>
      <c r="AC53" s="172">
        <v>4</v>
      </c>
      <c r="AD53" s="172">
        <v>0.33</v>
      </c>
      <c r="AE53" s="172">
        <v>0.1</v>
      </c>
      <c r="AO53" s="171"/>
      <c r="AP53" s="171"/>
      <c r="AQ53" s="171"/>
      <c r="AR53" s="171"/>
      <c r="AS53" s="171"/>
      <c r="AT53" s="171"/>
      <c r="AU53" s="171" t="s">
        <v>183</v>
      </c>
      <c r="AV53" s="179">
        <v>19</v>
      </c>
      <c r="AW53" s="179">
        <v>19</v>
      </c>
      <c r="AX53" s="179"/>
      <c r="AY53" s="179">
        <v>17</v>
      </c>
      <c r="AZ53" s="179">
        <v>16</v>
      </c>
      <c r="BC53" s="179"/>
      <c r="BD53" s="179"/>
      <c r="BE53" s="179"/>
      <c r="BF53" s="179"/>
      <c r="BG53" s="179"/>
      <c r="BH53" s="179"/>
      <c r="BI53" s="179"/>
      <c r="BJ53" s="179"/>
      <c r="BK53" s="179"/>
      <c r="BL53" s="181"/>
      <c r="BM53" s="181"/>
    </row>
    <row r="54" spans="1:65">
      <c r="A54" s="173" t="s">
        <v>213</v>
      </c>
      <c r="B54" s="173">
        <v>2024</v>
      </c>
      <c r="C54" s="175">
        <v>48</v>
      </c>
      <c r="D54" s="174" t="s">
        <v>235</v>
      </c>
      <c r="E54" s="173" t="s">
        <v>234</v>
      </c>
      <c r="F54" s="173" t="s">
        <v>188</v>
      </c>
      <c r="G54" s="173" t="s">
        <v>233</v>
      </c>
      <c r="H54" s="173" t="s">
        <v>232</v>
      </c>
      <c r="I54" s="173" t="s">
        <v>243</v>
      </c>
      <c r="J54" s="178">
        <v>57</v>
      </c>
      <c r="K54" s="172">
        <v>55</v>
      </c>
      <c r="M54" s="172">
        <v>38</v>
      </c>
      <c r="N54" s="172">
        <v>36</v>
      </c>
      <c r="P54" s="172">
        <v>38</v>
      </c>
      <c r="Q54" s="172">
        <v>39</v>
      </c>
      <c r="S54" s="172">
        <v>29</v>
      </c>
      <c r="T54" s="172">
        <v>81</v>
      </c>
      <c r="U54" s="172">
        <v>99</v>
      </c>
      <c r="V54" s="172">
        <v>56</v>
      </c>
      <c r="W54" s="172">
        <v>69</v>
      </c>
      <c r="X54" s="172">
        <v>12</v>
      </c>
      <c r="Y54" s="172">
        <v>10.8</v>
      </c>
      <c r="Z54" s="172">
        <v>10.8</v>
      </c>
      <c r="AA54" s="172">
        <v>11</v>
      </c>
      <c r="AB54" s="172">
        <v>11</v>
      </c>
      <c r="AC54" s="172">
        <v>4.0999999999999996</v>
      </c>
      <c r="AD54" s="172">
        <v>0.33</v>
      </c>
      <c r="AE54" s="172">
        <v>0.1</v>
      </c>
      <c r="AO54" s="171"/>
      <c r="AP54" s="171"/>
      <c r="AQ54" s="171"/>
      <c r="AR54" s="171"/>
      <c r="AS54" s="171"/>
      <c r="AT54" s="171"/>
      <c r="AU54" s="171" t="s">
        <v>183</v>
      </c>
      <c r="AV54" s="179">
        <v>17</v>
      </c>
      <c r="AW54" s="179">
        <v>16</v>
      </c>
      <c r="AX54" s="179"/>
      <c r="AY54" s="179">
        <v>19</v>
      </c>
      <c r="AZ54" s="179">
        <v>19</v>
      </c>
      <c r="BC54" s="179"/>
      <c r="BD54" s="179"/>
      <c r="BE54" s="179"/>
      <c r="BF54" s="179"/>
      <c r="BG54" s="179"/>
      <c r="BH54" s="179"/>
      <c r="BI54" s="179"/>
      <c r="BJ54" s="179"/>
      <c r="BK54" s="179"/>
      <c r="BL54" s="181"/>
      <c r="BM54" s="181"/>
    </row>
    <row r="55" spans="1:65">
      <c r="A55" s="173" t="s">
        <v>213</v>
      </c>
      <c r="B55" s="173">
        <v>2024</v>
      </c>
      <c r="C55" s="175">
        <v>49</v>
      </c>
      <c r="D55" s="174" t="s">
        <v>235</v>
      </c>
      <c r="E55" s="173" t="s">
        <v>234</v>
      </c>
      <c r="F55" s="173" t="s">
        <v>188</v>
      </c>
      <c r="G55" s="173" t="s">
        <v>233</v>
      </c>
      <c r="H55" s="173" t="s">
        <v>232</v>
      </c>
      <c r="I55" s="173" t="s">
        <v>242</v>
      </c>
      <c r="J55" s="178">
        <v>57</v>
      </c>
      <c r="K55" s="172">
        <v>54</v>
      </c>
      <c r="M55" s="172">
        <v>38</v>
      </c>
      <c r="N55" s="172">
        <v>35</v>
      </c>
      <c r="P55" s="172">
        <v>38</v>
      </c>
      <c r="Q55" s="172">
        <v>38</v>
      </c>
      <c r="S55" s="172">
        <v>29</v>
      </c>
      <c r="T55" s="172">
        <v>80</v>
      </c>
      <c r="U55" s="172">
        <v>98</v>
      </c>
      <c r="V55" s="172">
        <v>55</v>
      </c>
      <c r="W55" s="172">
        <v>67</v>
      </c>
      <c r="X55" s="172">
        <v>12</v>
      </c>
      <c r="Y55" s="172">
        <v>10.8</v>
      </c>
      <c r="Z55" s="172">
        <v>10.8</v>
      </c>
      <c r="AA55" s="172">
        <v>11</v>
      </c>
      <c r="AB55" s="172">
        <v>11</v>
      </c>
      <c r="AC55" s="172">
        <v>4.0999999999999996</v>
      </c>
      <c r="AD55" s="172">
        <v>0.33</v>
      </c>
      <c r="AE55" s="172">
        <v>0.1</v>
      </c>
      <c r="AO55" s="171"/>
      <c r="AP55" s="171"/>
      <c r="AQ55" s="171"/>
      <c r="AR55" s="171"/>
      <c r="AS55" s="171"/>
      <c r="AT55" s="171"/>
      <c r="AU55" s="171" t="s">
        <v>183</v>
      </c>
      <c r="AV55" s="179">
        <v>17</v>
      </c>
      <c r="AW55" s="179">
        <v>16</v>
      </c>
      <c r="AX55" s="179"/>
      <c r="AY55" s="179">
        <v>19</v>
      </c>
      <c r="AZ55" s="179">
        <v>19</v>
      </c>
      <c r="BC55" s="179"/>
      <c r="BD55" s="179"/>
      <c r="BE55" s="179"/>
      <c r="BF55" s="179"/>
      <c r="BG55" s="179"/>
      <c r="BH55" s="179"/>
      <c r="BI55" s="179"/>
      <c r="BJ55" s="179"/>
      <c r="BK55" s="179"/>
      <c r="BL55" s="181"/>
      <c r="BM55" s="181"/>
    </row>
    <row r="56" spans="1:65">
      <c r="A56" s="173" t="s">
        <v>213</v>
      </c>
      <c r="B56" s="173">
        <v>2024</v>
      </c>
      <c r="C56" s="175">
        <v>50</v>
      </c>
      <c r="D56" s="174" t="s">
        <v>235</v>
      </c>
      <c r="E56" s="173" t="s">
        <v>234</v>
      </c>
      <c r="F56" s="173" t="s">
        <v>188</v>
      </c>
      <c r="G56" s="173" t="s">
        <v>233</v>
      </c>
      <c r="H56" s="173" t="s">
        <v>232</v>
      </c>
      <c r="I56" s="173" t="s">
        <v>219</v>
      </c>
      <c r="J56" s="178">
        <v>57</v>
      </c>
      <c r="K56" s="172">
        <v>52</v>
      </c>
      <c r="M56" s="172">
        <v>38</v>
      </c>
      <c r="N56" s="172">
        <v>34</v>
      </c>
      <c r="P56" s="172">
        <v>38</v>
      </c>
      <c r="Q56" s="172">
        <v>37</v>
      </c>
      <c r="S56" s="172">
        <v>29</v>
      </c>
      <c r="T56" s="172">
        <v>79</v>
      </c>
      <c r="U56" s="172">
        <v>97</v>
      </c>
      <c r="V56" s="172">
        <v>53</v>
      </c>
      <c r="W56" s="172">
        <v>65</v>
      </c>
      <c r="X56" s="172">
        <v>12</v>
      </c>
      <c r="Y56" s="172">
        <v>10.8</v>
      </c>
      <c r="Z56" s="172">
        <v>10.8</v>
      </c>
      <c r="AA56" s="172">
        <v>11</v>
      </c>
      <c r="AB56" s="172">
        <v>11</v>
      </c>
      <c r="AC56" s="172">
        <v>4.0999999999999996</v>
      </c>
      <c r="AD56" s="172">
        <v>0.33</v>
      </c>
      <c r="AE56" s="172">
        <v>0.1</v>
      </c>
      <c r="AO56" s="171"/>
      <c r="AP56" s="171"/>
      <c r="AQ56" s="171"/>
      <c r="AR56" s="171"/>
      <c r="AS56" s="171"/>
      <c r="AT56" s="171"/>
      <c r="AV56" s="179">
        <v>17</v>
      </c>
      <c r="AW56" s="179">
        <v>16</v>
      </c>
      <c r="AX56" s="179"/>
      <c r="AY56" s="179">
        <v>19</v>
      </c>
      <c r="AZ56" s="179">
        <v>19</v>
      </c>
      <c r="BC56" s="179"/>
      <c r="BD56" s="179"/>
      <c r="BE56" s="179"/>
      <c r="BF56" s="179"/>
      <c r="BG56" s="179"/>
      <c r="BH56" s="179"/>
      <c r="BI56" s="179"/>
      <c r="BJ56" s="179"/>
      <c r="BK56" s="179"/>
      <c r="BL56" s="181"/>
      <c r="BM56" s="181"/>
    </row>
    <row r="57" spans="1:65">
      <c r="A57" s="173" t="s">
        <v>213</v>
      </c>
      <c r="B57" s="173">
        <v>2024</v>
      </c>
      <c r="C57" s="175">
        <v>51</v>
      </c>
      <c r="D57" s="174" t="s">
        <v>235</v>
      </c>
      <c r="E57" s="173" t="s">
        <v>234</v>
      </c>
      <c r="F57" s="173" t="s">
        <v>188</v>
      </c>
      <c r="G57" s="173" t="s">
        <v>233</v>
      </c>
      <c r="H57" s="173" t="s">
        <v>232</v>
      </c>
      <c r="I57" s="173" t="s">
        <v>241</v>
      </c>
      <c r="J57" s="178">
        <v>57</v>
      </c>
      <c r="K57" s="172">
        <v>51</v>
      </c>
      <c r="M57" s="172">
        <v>38</v>
      </c>
      <c r="N57" s="172">
        <v>33</v>
      </c>
      <c r="P57" s="172">
        <v>38</v>
      </c>
      <c r="Q57" s="172">
        <v>36</v>
      </c>
      <c r="S57" s="172">
        <v>29</v>
      </c>
      <c r="T57" s="172">
        <v>77</v>
      </c>
      <c r="U57" s="172">
        <v>95</v>
      </c>
      <c r="V57" s="172">
        <v>51</v>
      </c>
      <c r="W57" s="172">
        <v>63</v>
      </c>
      <c r="X57" s="172">
        <v>10</v>
      </c>
      <c r="Y57" s="172">
        <v>10.8</v>
      </c>
      <c r="Z57" s="172">
        <v>10.8</v>
      </c>
      <c r="AA57" s="172">
        <v>11</v>
      </c>
      <c r="AB57" s="172">
        <v>11</v>
      </c>
      <c r="AC57" s="172">
        <v>4.0999999999999996</v>
      </c>
      <c r="AD57" s="172">
        <v>0.33</v>
      </c>
      <c r="AE57" s="172">
        <v>0.1</v>
      </c>
      <c r="AO57" s="171"/>
      <c r="AP57" s="171"/>
      <c r="AQ57" s="171"/>
      <c r="AR57" s="171"/>
      <c r="AS57" s="171"/>
      <c r="AT57" s="171"/>
      <c r="AV57" s="179">
        <v>17</v>
      </c>
      <c r="AW57" s="179">
        <v>16</v>
      </c>
      <c r="AX57" s="179"/>
      <c r="AY57" s="179">
        <v>19</v>
      </c>
      <c r="AZ57" s="179">
        <v>19</v>
      </c>
      <c r="BC57" s="179"/>
      <c r="BD57" s="179"/>
      <c r="BE57" s="179"/>
      <c r="BF57" s="179"/>
      <c r="BG57" s="179"/>
      <c r="BH57" s="179"/>
      <c r="BI57" s="179"/>
      <c r="BJ57" s="179"/>
      <c r="BK57" s="179"/>
      <c r="BL57" s="181"/>
      <c r="BM57" s="181"/>
    </row>
    <row r="58" spans="1:65">
      <c r="A58" s="173" t="s">
        <v>213</v>
      </c>
      <c r="B58" s="173">
        <v>2024</v>
      </c>
      <c r="C58" s="175">
        <v>52</v>
      </c>
      <c r="D58" s="174" t="s">
        <v>235</v>
      </c>
      <c r="E58" s="173" t="s">
        <v>234</v>
      </c>
      <c r="F58" s="173" t="s">
        <v>188</v>
      </c>
      <c r="G58" s="173" t="s">
        <v>233</v>
      </c>
      <c r="H58" s="173" t="s">
        <v>232</v>
      </c>
      <c r="I58" s="173" t="s">
        <v>240</v>
      </c>
      <c r="J58" s="178">
        <v>57</v>
      </c>
      <c r="K58" s="172">
        <v>49</v>
      </c>
      <c r="M58" s="172">
        <v>38</v>
      </c>
      <c r="N58" s="172">
        <v>32</v>
      </c>
      <c r="P58" s="172">
        <v>38</v>
      </c>
      <c r="Q58" s="172">
        <v>35</v>
      </c>
      <c r="S58" s="172">
        <v>29</v>
      </c>
      <c r="T58" s="172">
        <v>75</v>
      </c>
      <c r="U58" s="172">
        <v>93</v>
      </c>
      <c r="V58" s="172">
        <v>49</v>
      </c>
      <c r="W58" s="172">
        <v>61</v>
      </c>
      <c r="X58" s="172">
        <v>10</v>
      </c>
      <c r="Y58" s="172">
        <v>10.8</v>
      </c>
      <c r="Z58" s="172">
        <v>10.8</v>
      </c>
      <c r="AA58" s="172">
        <v>11</v>
      </c>
      <c r="AB58" s="172">
        <v>11</v>
      </c>
      <c r="AC58" s="172">
        <v>4.0999999999999996</v>
      </c>
      <c r="AD58" s="172">
        <v>0.33</v>
      </c>
      <c r="AE58" s="172">
        <v>0.1</v>
      </c>
      <c r="AO58" s="171"/>
      <c r="AP58" s="171"/>
      <c r="AQ58" s="171"/>
      <c r="AR58" s="171"/>
      <c r="AS58" s="171"/>
      <c r="AT58" s="171"/>
      <c r="AV58" s="179">
        <v>17</v>
      </c>
      <c r="AW58" s="179">
        <v>16</v>
      </c>
      <c r="AX58" s="179"/>
      <c r="AY58" s="179">
        <v>19</v>
      </c>
      <c r="AZ58" s="179">
        <v>19</v>
      </c>
      <c r="BC58" s="179"/>
      <c r="BD58" s="179"/>
      <c r="BE58" s="179"/>
      <c r="BF58" s="179"/>
      <c r="BG58" s="179"/>
      <c r="BH58" s="179"/>
      <c r="BI58" s="179"/>
      <c r="BJ58" s="179"/>
      <c r="BK58" s="179"/>
      <c r="BL58" s="181"/>
      <c r="BM58" s="181"/>
    </row>
    <row r="59" spans="1:65">
      <c r="A59" s="173" t="s">
        <v>213</v>
      </c>
      <c r="B59" s="173">
        <v>2024</v>
      </c>
      <c r="C59" s="175">
        <v>53</v>
      </c>
      <c r="D59" s="174" t="s">
        <v>235</v>
      </c>
      <c r="E59" s="173" t="s">
        <v>234</v>
      </c>
      <c r="F59" s="173" t="s">
        <v>188</v>
      </c>
      <c r="G59" s="173" t="s">
        <v>233</v>
      </c>
      <c r="H59" s="173" t="s">
        <v>232</v>
      </c>
      <c r="I59" s="173" t="s">
        <v>239</v>
      </c>
      <c r="J59" s="178">
        <v>57</v>
      </c>
      <c r="K59" s="172">
        <v>47</v>
      </c>
      <c r="M59" s="172">
        <v>38</v>
      </c>
      <c r="N59" s="172">
        <v>31</v>
      </c>
      <c r="P59" s="172">
        <v>38</v>
      </c>
      <c r="Q59" s="172">
        <v>34</v>
      </c>
      <c r="S59" s="172">
        <v>29</v>
      </c>
      <c r="T59" s="172">
        <v>74</v>
      </c>
      <c r="U59" s="172">
        <v>91</v>
      </c>
      <c r="V59" s="172">
        <v>47</v>
      </c>
      <c r="W59" s="172">
        <v>59</v>
      </c>
      <c r="X59" s="172">
        <v>10</v>
      </c>
      <c r="Y59" s="172">
        <v>10.8</v>
      </c>
      <c r="Z59" s="172">
        <v>10.8</v>
      </c>
      <c r="AA59" s="172">
        <v>11</v>
      </c>
      <c r="AB59" s="172">
        <v>11</v>
      </c>
      <c r="AC59" s="172">
        <v>4.0999999999999996</v>
      </c>
      <c r="AD59" s="172">
        <v>0.33</v>
      </c>
      <c r="AE59" s="172">
        <v>0.1</v>
      </c>
      <c r="AO59" s="171"/>
      <c r="AP59" s="171"/>
      <c r="AQ59" s="171"/>
      <c r="AR59" s="171"/>
      <c r="AS59" s="171"/>
      <c r="AT59" s="171"/>
      <c r="AV59" s="179">
        <v>17</v>
      </c>
      <c r="AW59" s="179">
        <v>16</v>
      </c>
      <c r="AX59" s="179"/>
      <c r="AY59" s="179">
        <v>19</v>
      </c>
      <c r="AZ59" s="179">
        <v>19</v>
      </c>
      <c r="BC59" s="179"/>
      <c r="BD59" s="179"/>
      <c r="BE59" s="179"/>
      <c r="BF59" s="179"/>
      <c r="BG59" s="179"/>
      <c r="BH59" s="179"/>
      <c r="BI59" s="179"/>
      <c r="BJ59" s="179"/>
      <c r="BK59" s="179"/>
      <c r="BL59" s="181"/>
      <c r="BM59" s="181"/>
    </row>
    <row r="60" spans="1:65">
      <c r="A60" s="173" t="s">
        <v>213</v>
      </c>
      <c r="B60" s="173">
        <v>2024</v>
      </c>
      <c r="C60" s="175">
        <v>54</v>
      </c>
      <c r="D60" s="174" t="s">
        <v>235</v>
      </c>
      <c r="E60" s="173" t="s">
        <v>234</v>
      </c>
      <c r="F60" s="173" t="s">
        <v>188</v>
      </c>
      <c r="G60" s="173" t="s">
        <v>233</v>
      </c>
      <c r="H60" s="173" t="s">
        <v>232</v>
      </c>
      <c r="I60" s="173" t="s">
        <v>238</v>
      </c>
      <c r="J60" s="178">
        <v>57</v>
      </c>
      <c r="K60" s="172">
        <v>45</v>
      </c>
      <c r="M60" s="172">
        <v>38</v>
      </c>
      <c r="N60" s="172">
        <v>30</v>
      </c>
      <c r="P60" s="172">
        <v>38</v>
      </c>
      <c r="Q60" s="172">
        <v>33</v>
      </c>
      <c r="S60" s="172">
        <v>28</v>
      </c>
      <c r="T60" s="172">
        <v>71</v>
      </c>
      <c r="U60" s="172">
        <v>89</v>
      </c>
      <c r="V60" s="172">
        <v>44</v>
      </c>
      <c r="W60" s="172">
        <v>56</v>
      </c>
      <c r="X60" s="172">
        <v>10</v>
      </c>
      <c r="Y60" s="172">
        <v>10.8</v>
      </c>
      <c r="Z60" s="172">
        <v>10.8</v>
      </c>
      <c r="AA60" s="172">
        <v>11</v>
      </c>
      <c r="AB60" s="172">
        <v>11</v>
      </c>
      <c r="AC60" s="172">
        <v>4.0999999999999996</v>
      </c>
      <c r="AD60" s="172">
        <v>0.33</v>
      </c>
      <c r="AE60" s="172">
        <v>0.1</v>
      </c>
      <c r="AO60" s="171"/>
      <c r="AP60" s="171"/>
      <c r="AQ60" s="171"/>
      <c r="AR60" s="171"/>
      <c r="AS60" s="171"/>
      <c r="AT60" s="171"/>
      <c r="AV60" s="179">
        <v>17</v>
      </c>
      <c r="AW60" s="179">
        <v>16</v>
      </c>
      <c r="AX60" s="179"/>
      <c r="AY60" s="179">
        <v>19</v>
      </c>
      <c r="AZ60" s="179">
        <v>19</v>
      </c>
      <c r="BC60" s="179"/>
      <c r="BD60" s="179"/>
      <c r="BE60" s="179"/>
      <c r="BF60" s="179"/>
      <c r="BG60" s="179"/>
      <c r="BH60" s="179"/>
      <c r="BI60" s="179"/>
      <c r="BJ60" s="179"/>
      <c r="BK60" s="179"/>
      <c r="BL60" s="181"/>
      <c r="BM60" s="181"/>
    </row>
    <row r="61" spans="1:65">
      <c r="A61" s="173" t="s">
        <v>213</v>
      </c>
      <c r="B61" s="173">
        <v>2024</v>
      </c>
      <c r="C61" s="175">
        <v>55</v>
      </c>
      <c r="D61" s="174" t="s">
        <v>235</v>
      </c>
      <c r="E61" s="173" t="s">
        <v>234</v>
      </c>
      <c r="F61" s="173" t="s">
        <v>188</v>
      </c>
      <c r="G61" s="173" t="s">
        <v>233</v>
      </c>
      <c r="H61" s="173" t="s">
        <v>232</v>
      </c>
      <c r="I61" s="173" t="s">
        <v>237</v>
      </c>
      <c r="J61" s="178">
        <v>57</v>
      </c>
      <c r="K61" s="172">
        <v>43</v>
      </c>
      <c r="M61" s="172">
        <v>38</v>
      </c>
      <c r="N61" s="172">
        <v>29</v>
      </c>
      <c r="P61" s="172">
        <v>38</v>
      </c>
      <c r="Q61" s="172">
        <v>31</v>
      </c>
      <c r="S61" s="172">
        <v>27</v>
      </c>
      <c r="T61" s="172">
        <v>69</v>
      </c>
      <c r="U61" s="172">
        <v>86</v>
      </c>
      <c r="V61" s="172">
        <v>41</v>
      </c>
      <c r="W61" s="172">
        <v>53</v>
      </c>
      <c r="X61" s="172">
        <v>10</v>
      </c>
      <c r="Y61" s="172">
        <v>10.8</v>
      </c>
      <c r="Z61" s="172">
        <v>10.8</v>
      </c>
      <c r="AA61" s="172">
        <v>11</v>
      </c>
      <c r="AB61" s="172">
        <v>11</v>
      </c>
      <c r="AC61" s="172">
        <v>4.0999999999999996</v>
      </c>
      <c r="AD61" s="172">
        <v>0.33</v>
      </c>
      <c r="AE61" s="172">
        <v>0.1</v>
      </c>
      <c r="AO61" s="171"/>
      <c r="AP61" s="171"/>
      <c r="AQ61" s="171"/>
      <c r="AR61" s="171"/>
      <c r="AS61" s="171"/>
      <c r="AT61" s="171"/>
      <c r="AV61" s="179">
        <v>17</v>
      </c>
      <c r="AW61" s="179">
        <v>16</v>
      </c>
      <c r="AX61" s="179"/>
      <c r="AY61" s="179">
        <v>19</v>
      </c>
      <c r="AZ61" s="179">
        <v>19</v>
      </c>
      <c r="BC61" s="179"/>
      <c r="BD61" s="179"/>
      <c r="BE61" s="179"/>
      <c r="BF61" s="179"/>
      <c r="BG61" s="179"/>
      <c r="BH61" s="179"/>
      <c r="BI61" s="179"/>
      <c r="BJ61" s="179"/>
      <c r="BK61" s="179"/>
      <c r="BL61" s="181"/>
      <c r="BM61" s="181"/>
    </row>
    <row r="62" spans="1:65">
      <c r="A62" s="173" t="s">
        <v>213</v>
      </c>
      <c r="B62" s="173">
        <v>2024</v>
      </c>
      <c r="C62" s="175">
        <v>56</v>
      </c>
      <c r="D62" s="174" t="s">
        <v>235</v>
      </c>
      <c r="E62" s="173" t="s">
        <v>234</v>
      </c>
      <c r="F62" s="173" t="s">
        <v>188</v>
      </c>
      <c r="G62" s="173" t="s">
        <v>233</v>
      </c>
      <c r="H62" s="173" t="s">
        <v>232</v>
      </c>
      <c r="I62" s="173" t="s">
        <v>236</v>
      </c>
      <c r="J62" s="178">
        <v>57</v>
      </c>
      <c r="K62" s="172">
        <v>41</v>
      </c>
      <c r="M62" s="172">
        <v>38</v>
      </c>
      <c r="N62" s="172">
        <v>28</v>
      </c>
      <c r="P62" s="172">
        <v>38</v>
      </c>
      <c r="Q62" s="172">
        <v>30</v>
      </c>
      <c r="S62" s="172">
        <v>26</v>
      </c>
      <c r="T62" s="172">
        <v>67</v>
      </c>
      <c r="U62" s="172">
        <v>83</v>
      </c>
      <c r="V62" s="172">
        <v>39</v>
      </c>
      <c r="W62" s="172">
        <v>50</v>
      </c>
      <c r="X62" s="172">
        <v>10</v>
      </c>
      <c r="Y62" s="172">
        <v>10.8</v>
      </c>
      <c r="Z62" s="172">
        <v>10.8</v>
      </c>
      <c r="AA62" s="172">
        <v>11</v>
      </c>
      <c r="AB62" s="172">
        <v>11</v>
      </c>
      <c r="AC62" s="172">
        <v>4.0999999999999996</v>
      </c>
      <c r="AD62" s="172">
        <v>0.33</v>
      </c>
      <c r="AE62" s="172">
        <v>0.1</v>
      </c>
      <c r="AO62" s="171"/>
      <c r="AP62" s="171"/>
      <c r="AQ62" s="171"/>
      <c r="AR62" s="171"/>
      <c r="AS62" s="171"/>
      <c r="AT62" s="171"/>
      <c r="AV62" s="179">
        <v>17</v>
      </c>
      <c r="AW62" s="179">
        <v>16</v>
      </c>
      <c r="AX62" s="179"/>
      <c r="AY62" s="179">
        <v>19</v>
      </c>
      <c r="AZ62" s="179">
        <v>19</v>
      </c>
      <c r="BC62" s="179"/>
      <c r="BD62" s="179"/>
      <c r="BE62" s="179"/>
      <c r="BF62" s="179"/>
      <c r="BG62" s="179"/>
      <c r="BH62" s="179"/>
      <c r="BI62" s="179"/>
      <c r="BJ62" s="179"/>
      <c r="BK62" s="179"/>
      <c r="BL62" s="181"/>
      <c r="BM62" s="181"/>
    </row>
    <row r="63" spans="1:65">
      <c r="A63" s="173" t="s">
        <v>213</v>
      </c>
      <c r="B63" s="173">
        <v>2024</v>
      </c>
      <c r="C63" s="175">
        <v>57</v>
      </c>
      <c r="D63" s="174" t="s">
        <v>235</v>
      </c>
      <c r="E63" s="173" t="s">
        <v>234</v>
      </c>
      <c r="F63" s="173" t="s">
        <v>188</v>
      </c>
      <c r="G63" s="173" t="s">
        <v>233</v>
      </c>
      <c r="H63" s="173" t="s">
        <v>232</v>
      </c>
      <c r="I63" s="173" t="s">
        <v>231</v>
      </c>
      <c r="J63" s="178">
        <v>57</v>
      </c>
      <c r="K63" s="172">
        <v>39</v>
      </c>
      <c r="M63" s="172">
        <v>28</v>
      </c>
      <c r="N63" s="172">
        <v>27</v>
      </c>
      <c r="P63" s="172">
        <v>38</v>
      </c>
      <c r="Q63" s="172">
        <v>29</v>
      </c>
      <c r="S63" s="172">
        <v>24</v>
      </c>
      <c r="T63" s="172">
        <v>64</v>
      </c>
      <c r="U63" s="172">
        <v>81</v>
      </c>
      <c r="V63" s="172">
        <v>36</v>
      </c>
      <c r="W63" s="172">
        <v>47</v>
      </c>
      <c r="X63" s="172">
        <v>10</v>
      </c>
      <c r="Y63" s="172">
        <v>10.8</v>
      </c>
      <c r="Z63" s="172">
        <v>10.8</v>
      </c>
      <c r="AA63" s="172">
        <v>11</v>
      </c>
      <c r="AB63" s="172">
        <v>11</v>
      </c>
      <c r="AC63" s="172">
        <v>4.0999999999999996</v>
      </c>
      <c r="AD63" s="172">
        <v>0.33</v>
      </c>
      <c r="AE63" s="172">
        <v>0.1</v>
      </c>
      <c r="AO63" s="171"/>
      <c r="AP63" s="171"/>
      <c r="AQ63" s="171"/>
      <c r="AR63" s="171"/>
      <c r="AS63" s="171"/>
      <c r="AT63" s="171"/>
      <c r="AU63" s="171" t="s">
        <v>183</v>
      </c>
      <c r="AV63" s="179">
        <v>17</v>
      </c>
      <c r="AW63" s="179">
        <v>16</v>
      </c>
      <c r="AX63" s="179"/>
      <c r="AY63" s="179">
        <v>19</v>
      </c>
      <c r="AZ63" s="179">
        <v>19</v>
      </c>
      <c r="BC63" s="179"/>
      <c r="BD63" s="179"/>
      <c r="BE63" s="179"/>
      <c r="BF63" s="179"/>
      <c r="BG63" s="179"/>
      <c r="BH63" s="179"/>
      <c r="BI63" s="179"/>
      <c r="BJ63" s="179"/>
      <c r="BK63" s="179"/>
      <c r="BL63" s="181"/>
      <c r="BM63" s="181"/>
    </row>
    <row r="64" spans="1:65">
      <c r="B64" s="173">
        <v>2024</v>
      </c>
      <c r="C64" s="175">
        <v>58</v>
      </c>
      <c r="D64" s="177"/>
      <c r="E64" s="173" t="s">
        <v>230</v>
      </c>
      <c r="F64" s="173" t="s">
        <v>182</v>
      </c>
      <c r="G64" s="173" t="s">
        <v>29</v>
      </c>
      <c r="AO64" s="171">
        <v>3</v>
      </c>
      <c r="AP64" s="171">
        <v>3</v>
      </c>
      <c r="AQ64" s="171">
        <v>6</v>
      </c>
      <c r="AR64" s="171">
        <v>12</v>
      </c>
      <c r="AS64" s="171">
        <v>12</v>
      </c>
      <c r="AT64" s="171">
        <v>12</v>
      </c>
      <c r="BC64" s="179"/>
      <c r="BD64" s="179"/>
      <c r="BE64" s="179"/>
      <c r="BF64" s="179"/>
      <c r="BG64" s="179"/>
      <c r="BH64" s="179"/>
      <c r="BI64" s="179"/>
      <c r="BJ64" s="179"/>
      <c r="BK64" s="179"/>
      <c r="BL64" s="181"/>
      <c r="BM64" s="181"/>
    </row>
    <row r="65" spans="2:65" s="170" customFormat="1">
      <c r="B65" s="173">
        <v>6061</v>
      </c>
      <c r="C65" s="175">
        <v>59</v>
      </c>
      <c r="D65" s="174"/>
      <c r="E65" s="173" t="s">
        <v>228</v>
      </c>
      <c r="F65" s="173" t="s">
        <v>192</v>
      </c>
      <c r="G65" s="173" t="s">
        <v>210</v>
      </c>
      <c r="H65" s="173" t="s">
        <v>227</v>
      </c>
      <c r="I65" s="176" t="s">
        <v>229</v>
      </c>
      <c r="J65" s="178"/>
      <c r="K65" s="172">
        <v>30</v>
      </c>
      <c r="L65" s="178"/>
      <c r="M65" s="178"/>
      <c r="N65" s="172">
        <v>16</v>
      </c>
      <c r="O65" s="178"/>
      <c r="P65" s="178"/>
      <c r="Q65" s="172">
        <v>16</v>
      </c>
      <c r="R65" s="178"/>
      <c r="S65" s="172">
        <v>20</v>
      </c>
      <c r="T65" s="172">
        <v>48</v>
      </c>
      <c r="U65" s="172">
        <v>63</v>
      </c>
      <c r="V65" s="172">
        <v>22</v>
      </c>
      <c r="W65" s="172">
        <v>26</v>
      </c>
      <c r="X65" s="172"/>
      <c r="Y65" s="172">
        <v>9.9</v>
      </c>
      <c r="Z65" s="172">
        <v>9.9</v>
      </c>
      <c r="AA65" s="172">
        <v>10.1</v>
      </c>
      <c r="AB65" s="172">
        <v>10.1</v>
      </c>
      <c r="AC65" s="172">
        <v>3.8</v>
      </c>
      <c r="AD65" s="172">
        <v>0.33</v>
      </c>
      <c r="AE65" s="172">
        <v>9.8000000000000004E-2</v>
      </c>
      <c r="AO65" s="171"/>
      <c r="AP65" s="171"/>
      <c r="AQ65" s="171"/>
      <c r="AR65" s="171"/>
      <c r="AS65" s="171"/>
      <c r="AT65" s="171"/>
      <c r="AU65" s="171"/>
      <c r="AV65" s="171"/>
      <c r="AW65" s="171"/>
      <c r="AX65" s="171"/>
      <c r="AY65" s="171"/>
      <c r="AZ65" s="171"/>
      <c r="BA65" s="171"/>
      <c r="BC65" s="179"/>
      <c r="BD65" s="179"/>
      <c r="BE65" s="179"/>
      <c r="BF65" s="179"/>
      <c r="BG65" s="179"/>
      <c r="BH65" s="179"/>
      <c r="BI65" s="179"/>
      <c r="BJ65" s="179"/>
      <c r="BK65" s="179"/>
      <c r="BL65" s="181"/>
      <c r="BM65" s="181"/>
    </row>
    <row r="66" spans="2:65" s="170" customFormat="1">
      <c r="B66" s="173">
        <v>6061</v>
      </c>
      <c r="C66" s="175">
        <v>60</v>
      </c>
      <c r="D66" s="174"/>
      <c r="E66" s="173" t="s">
        <v>228</v>
      </c>
      <c r="F66" s="173" t="s">
        <v>182</v>
      </c>
      <c r="G66" s="173" t="s">
        <v>210</v>
      </c>
      <c r="H66" s="173" t="s">
        <v>227</v>
      </c>
      <c r="I66" s="176" t="s">
        <v>229</v>
      </c>
      <c r="J66" s="178">
        <v>42</v>
      </c>
      <c r="K66" s="172">
        <v>42</v>
      </c>
      <c r="L66" s="178"/>
      <c r="M66" s="172">
        <v>36</v>
      </c>
      <c r="N66" s="172">
        <v>35</v>
      </c>
      <c r="O66" s="178"/>
      <c r="P66" s="172">
        <v>35</v>
      </c>
      <c r="Q66" s="172">
        <v>36</v>
      </c>
      <c r="R66" s="178"/>
      <c r="S66" s="172">
        <v>27</v>
      </c>
      <c r="T66" s="172">
        <v>67</v>
      </c>
      <c r="U66" s="172">
        <v>88</v>
      </c>
      <c r="V66" s="172">
        <v>50</v>
      </c>
      <c r="W66" s="172">
        <v>58</v>
      </c>
      <c r="X66" s="172"/>
      <c r="Y66" s="172">
        <v>9.9</v>
      </c>
      <c r="Z66" s="172">
        <v>9.9</v>
      </c>
      <c r="AA66" s="172">
        <v>10.1</v>
      </c>
      <c r="AB66" s="172">
        <v>10.1</v>
      </c>
      <c r="AC66" s="172">
        <v>3.8</v>
      </c>
      <c r="AD66" s="172">
        <v>0.33</v>
      </c>
      <c r="AE66" s="172">
        <v>9.8000000000000004E-2</v>
      </c>
      <c r="AO66" s="171"/>
      <c r="AP66" s="171"/>
      <c r="AQ66" s="171"/>
      <c r="AR66" s="171"/>
      <c r="AS66" s="171"/>
      <c r="AT66" s="171"/>
      <c r="AU66" s="171"/>
      <c r="AV66" s="179">
        <v>18</v>
      </c>
      <c r="AW66" s="179">
        <v>21</v>
      </c>
      <c r="AX66" s="179"/>
      <c r="AY66" s="179">
        <v>50</v>
      </c>
      <c r="AZ66" s="179">
        <v>21</v>
      </c>
      <c r="BA66" s="179"/>
      <c r="BC66" s="179"/>
      <c r="BD66" s="179"/>
      <c r="BE66" s="179"/>
      <c r="BF66" s="179"/>
      <c r="BG66" s="179"/>
      <c r="BH66" s="179"/>
      <c r="BI66" s="179"/>
      <c r="BJ66" s="179"/>
      <c r="BK66" s="179"/>
      <c r="BL66" s="181"/>
      <c r="BM66" s="181"/>
    </row>
    <row r="67" spans="2:65" s="170" customFormat="1">
      <c r="B67" s="173">
        <v>6061</v>
      </c>
      <c r="C67" s="175">
        <v>61</v>
      </c>
      <c r="D67" s="174"/>
      <c r="E67" s="173" t="s">
        <v>228</v>
      </c>
      <c r="F67" s="173" t="s">
        <v>175</v>
      </c>
      <c r="G67" s="173" t="s">
        <v>210</v>
      </c>
      <c r="H67" s="173" t="s">
        <v>227</v>
      </c>
      <c r="I67" s="176" t="s">
        <v>229</v>
      </c>
      <c r="J67" s="178">
        <v>42</v>
      </c>
      <c r="K67" s="172">
        <v>42</v>
      </c>
      <c r="L67" s="178"/>
      <c r="M67" s="172">
        <v>36</v>
      </c>
      <c r="N67" s="172">
        <v>35</v>
      </c>
      <c r="O67" s="178"/>
      <c r="P67" s="172">
        <v>35</v>
      </c>
      <c r="Q67" s="172">
        <v>36</v>
      </c>
      <c r="R67" s="178"/>
      <c r="S67" s="172">
        <v>27</v>
      </c>
      <c r="T67" s="172">
        <v>67</v>
      </c>
      <c r="U67" s="172">
        <v>88</v>
      </c>
      <c r="V67" s="172">
        <v>50</v>
      </c>
      <c r="W67" s="172">
        <v>58</v>
      </c>
      <c r="X67" s="172"/>
      <c r="Y67" s="172">
        <v>9.9</v>
      </c>
      <c r="Z67" s="172">
        <v>9.9</v>
      </c>
      <c r="AA67" s="172">
        <v>10.1</v>
      </c>
      <c r="AB67" s="172">
        <v>10.1</v>
      </c>
      <c r="AC67" s="172">
        <v>3.8</v>
      </c>
      <c r="AD67" s="172">
        <v>0.33</v>
      </c>
      <c r="AE67" s="172">
        <v>9.8000000000000004E-2</v>
      </c>
      <c r="AO67" s="171"/>
      <c r="AP67" s="171"/>
      <c r="AQ67" s="171"/>
      <c r="AR67" s="171"/>
      <c r="AS67" s="171"/>
      <c r="AT67" s="171"/>
      <c r="AU67" s="171"/>
      <c r="AV67" s="171"/>
      <c r="AW67" s="171"/>
      <c r="AX67" s="171"/>
      <c r="AY67" s="171"/>
      <c r="AZ67" s="171"/>
      <c r="BA67" s="171"/>
      <c r="BC67" s="179"/>
      <c r="BD67" s="179"/>
      <c r="BE67" s="179"/>
      <c r="BF67" s="179"/>
      <c r="BG67" s="179"/>
      <c r="BH67" s="179"/>
      <c r="BI67" s="179"/>
      <c r="BJ67" s="179"/>
      <c r="BK67" s="179"/>
      <c r="BL67" s="181"/>
      <c r="BM67" s="181"/>
    </row>
    <row r="68" spans="2:65" s="170" customFormat="1">
      <c r="B68" s="173">
        <v>6061</v>
      </c>
      <c r="C68" s="175">
        <v>62</v>
      </c>
      <c r="D68" s="174"/>
      <c r="E68" s="173" t="s">
        <v>228</v>
      </c>
      <c r="F68" s="173" t="s">
        <v>175</v>
      </c>
      <c r="G68" s="173" t="s">
        <v>210</v>
      </c>
      <c r="H68" s="173" t="s">
        <v>227</v>
      </c>
      <c r="I68" s="176" t="s">
        <v>226</v>
      </c>
      <c r="J68" s="178">
        <v>42</v>
      </c>
      <c r="K68" s="172">
        <v>42</v>
      </c>
      <c r="L68" s="178"/>
      <c r="M68" s="172">
        <v>36</v>
      </c>
      <c r="N68" s="172">
        <v>35</v>
      </c>
      <c r="O68" s="178"/>
      <c r="P68" s="172">
        <v>35</v>
      </c>
      <c r="Q68" s="172">
        <v>36</v>
      </c>
      <c r="R68" s="178"/>
      <c r="S68" s="172">
        <v>27</v>
      </c>
      <c r="T68" s="172">
        <v>67</v>
      </c>
      <c r="U68" s="172">
        <v>88</v>
      </c>
      <c r="V68" s="172">
        <v>50</v>
      </c>
      <c r="W68" s="172">
        <v>58</v>
      </c>
      <c r="X68" s="172"/>
      <c r="Y68" s="172">
        <v>9.9</v>
      </c>
      <c r="Z68" s="172">
        <v>9.9</v>
      </c>
      <c r="AA68" s="172">
        <v>10.1</v>
      </c>
      <c r="AB68" s="172">
        <v>10.1</v>
      </c>
      <c r="AC68" s="172">
        <v>3.8</v>
      </c>
      <c r="AD68" s="172">
        <v>0.33</v>
      </c>
      <c r="AE68" s="172">
        <v>9.8000000000000004E-2</v>
      </c>
      <c r="AO68" s="171"/>
      <c r="AP68" s="171"/>
      <c r="AQ68" s="171"/>
      <c r="AR68" s="171"/>
      <c r="AS68" s="171"/>
      <c r="AT68" s="171"/>
      <c r="AU68" s="171"/>
      <c r="AV68" s="171"/>
      <c r="AW68" s="171"/>
      <c r="AX68" s="171"/>
      <c r="AY68" s="171"/>
      <c r="AZ68" s="171"/>
      <c r="BA68" s="171"/>
      <c r="BC68" s="179"/>
      <c r="BD68" s="179"/>
      <c r="BE68" s="179"/>
      <c r="BF68" s="179"/>
      <c r="BG68" s="179"/>
      <c r="BH68" s="179"/>
      <c r="BI68" s="179"/>
      <c r="BJ68" s="179"/>
      <c r="BK68" s="179"/>
      <c r="BL68" s="181"/>
      <c r="BM68" s="181"/>
    </row>
    <row r="69" spans="2:65" s="170" customFormat="1">
      <c r="B69" s="173">
        <v>7075</v>
      </c>
      <c r="C69" s="175">
        <v>63</v>
      </c>
      <c r="D69" s="174"/>
      <c r="E69" s="173" t="s">
        <v>205</v>
      </c>
      <c r="F69" s="173" t="s">
        <v>182</v>
      </c>
      <c r="G69" s="173" t="s">
        <v>204</v>
      </c>
      <c r="H69" s="173" t="s">
        <v>149</v>
      </c>
      <c r="I69" s="173" t="s">
        <v>179</v>
      </c>
      <c r="J69" s="172"/>
      <c r="K69" s="172">
        <v>74</v>
      </c>
      <c r="L69" s="172"/>
      <c r="M69" s="172"/>
      <c r="N69" s="172">
        <v>63</v>
      </c>
      <c r="O69" s="172"/>
      <c r="P69" s="172"/>
      <c r="Q69" s="172"/>
      <c r="R69" s="172"/>
      <c r="S69" s="172"/>
      <c r="T69" s="172"/>
      <c r="U69" s="172"/>
      <c r="V69" s="172"/>
      <c r="W69" s="172"/>
      <c r="X69" s="172">
        <v>5</v>
      </c>
      <c r="Y69" s="172">
        <v>10.3</v>
      </c>
      <c r="Z69" s="172">
        <v>10.3</v>
      </c>
      <c r="AA69" s="172">
        <v>10.5</v>
      </c>
      <c r="AB69" s="172">
        <v>10.5</v>
      </c>
      <c r="AC69" s="172">
        <v>3.9</v>
      </c>
      <c r="AD69" s="172">
        <v>0.33</v>
      </c>
      <c r="AE69" s="172">
        <v>0.10100000000000001</v>
      </c>
      <c r="AF69" s="170">
        <v>78</v>
      </c>
      <c r="AG69" s="170">
        <v>9.6999999999999993</v>
      </c>
      <c r="AH69" s="170">
        <v>0.42</v>
      </c>
      <c r="AI69" s="170">
        <v>94.906880819999998</v>
      </c>
      <c r="AJ69" s="170">
        <v>-3.6756548100000002</v>
      </c>
      <c r="AK69" s="170">
        <v>0.21316246799999999</v>
      </c>
      <c r="AL69" s="170">
        <v>-9.2110100000000004E-3</v>
      </c>
      <c r="AM69" s="170">
        <v>1.6882099999999999E-4</v>
      </c>
      <c r="AN69" s="170">
        <f>-1.0688*10^-6</f>
        <v>-1.0687999999999998E-6</v>
      </c>
      <c r="AO69" s="171">
        <v>1</v>
      </c>
      <c r="AP69" s="171">
        <v>1</v>
      </c>
      <c r="AQ69" s="171">
        <v>6</v>
      </c>
      <c r="AR69" s="171">
        <v>8</v>
      </c>
      <c r="AS69" s="171">
        <v>8</v>
      </c>
      <c r="AT69" s="171">
        <v>8</v>
      </c>
      <c r="AU69" s="171" t="s">
        <v>183</v>
      </c>
      <c r="AV69" s="179">
        <v>13</v>
      </c>
      <c r="AW69" s="179">
        <v>12</v>
      </c>
      <c r="AX69" s="179"/>
      <c r="AY69" s="179">
        <v>17</v>
      </c>
      <c r="AZ69" s="179">
        <v>15</v>
      </c>
      <c r="BA69" s="171"/>
      <c r="BC69" s="179"/>
      <c r="BD69" s="179"/>
      <c r="BE69" s="179"/>
      <c r="BF69" s="179"/>
      <c r="BG69" s="179"/>
      <c r="BH69" s="179"/>
      <c r="BI69" s="179"/>
      <c r="BJ69" s="179"/>
      <c r="BK69" s="179"/>
      <c r="BL69" s="181"/>
      <c r="BM69" s="181"/>
    </row>
    <row r="70" spans="2:65" s="170" customFormat="1">
      <c r="B70" s="173">
        <v>7075</v>
      </c>
      <c r="C70" s="175">
        <v>64</v>
      </c>
      <c r="D70" s="174"/>
      <c r="E70" s="173" t="s">
        <v>205</v>
      </c>
      <c r="F70" s="173" t="s">
        <v>182</v>
      </c>
      <c r="G70" s="173" t="s">
        <v>204</v>
      </c>
      <c r="H70" s="173" t="s">
        <v>149</v>
      </c>
      <c r="I70" s="173" t="s">
        <v>178</v>
      </c>
      <c r="J70" s="172">
        <v>76</v>
      </c>
      <c r="K70" s="172">
        <v>76</v>
      </c>
      <c r="L70" s="172"/>
      <c r="M70" s="172">
        <v>69</v>
      </c>
      <c r="N70" s="172">
        <v>67</v>
      </c>
      <c r="O70" s="172"/>
      <c r="P70" s="172">
        <v>68</v>
      </c>
      <c r="Q70" s="172">
        <v>71</v>
      </c>
      <c r="R70" s="172"/>
      <c r="S70" s="172">
        <v>46</v>
      </c>
      <c r="T70" s="172">
        <v>118</v>
      </c>
      <c r="U70" s="172">
        <v>152</v>
      </c>
      <c r="V70" s="172">
        <v>100</v>
      </c>
      <c r="W70" s="172">
        <v>117</v>
      </c>
      <c r="X70" s="172">
        <v>7</v>
      </c>
      <c r="Y70" s="172">
        <v>10.3</v>
      </c>
      <c r="Z70" s="172">
        <v>10.3</v>
      </c>
      <c r="AA70" s="172">
        <v>10.5</v>
      </c>
      <c r="AB70" s="172">
        <v>10.5</v>
      </c>
      <c r="AC70" s="172">
        <v>3.9</v>
      </c>
      <c r="AD70" s="172">
        <v>0.33</v>
      </c>
      <c r="AE70" s="172">
        <v>0.10100000000000001</v>
      </c>
      <c r="AF70" s="170">
        <v>78</v>
      </c>
      <c r="AG70" s="170">
        <v>9.6999999999999993</v>
      </c>
      <c r="AH70" s="170">
        <v>0.42</v>
      </c>
      <c r="AI70" s="170">
        <v>94.906880819999998</v>
      </c>
      <c r="AJ70" s="170">
        <v>-3.6756548100000002</v>
      </c>
      <c r="AK70" s="170">
        <v>0.21316246799999999</v>
      </c>
      <c r="AL70" s="170">
        <v>-9.2110100000000004E-3</v>
      </c>
      <c r="AM70" s="170">
        <v>1.6882099999999999E-4</v>
      </c>
      <c r="AN70" s="170">
        <f>-1.0688*10^-6</f>
        <v>-1.0687999999999998E-6</v>
      </c>
      <c r="AO70" s="171">
        <v>1</v>
      </c>
      <c r="AP70" s="171">
        <v>1</v>
      </c>
      <c r="AQ70" s="171">
        <v>6</v>
      </c>
      <c r="AR70" s="171">
        <v>8</v>
      </c>
      <c r="AS70" s="171">
        <v>8</v>
      </c>
      <c r="AT70" s="171">
        <v>8</v>
      </c>
      <c r="AU70" s="171" t="s">
        <v>183</v>
      </c>
      <c r="AV70" s="179">
        <v>13</v>
      </c>
      <c r="AW70" s="179">
        <v>12</v>
      </c>
      <c r="AX70" s="179"/>
      <c r="AY70" s="179">
        <v>17</v>
      </c>
      <c r="AZ70" s="179">
        <v>15</v>
      </c>
      <c r="BA70" s="171"/>
      <c r="BC70" s="179"/>
      <c r="BD70" s="179"/>
      <c r="BE70" s="179"/>
      <c r="BF70" s="179"/>
      <c r="BG70" s="179"/>
      <c r="BH70" s="179"/>
      <c r="BI70" s="179"/>
      <c r="BJ70" s="179"/>
      <c r="BK70" s="179"/>
      <c r="BL70" s="181"/>
      <c r="BM70" s="181"/>
    </row>
    <row r="71" spans="2:65" s="170" customFormat="1">
      <c r="B71" s="173">
        <v>7075</v>
      </c>
      <c r="C71" s="175">
        <v>65</v>
      </c>
      <c r="D71" s="174"/>
      <c r="E71" s="173" t="s">
        <v>205</v>
      </c>
      <c r="F71" s="173" t="s">
        <v>182</v>
      </c>
      <c r="G71" s="173" t="s">
        <v>204</v>
      </c>
      <c r="H71" s="173" t="s">
        <v>149</v>
      </c>
      <c r="I71" s="173" t="s">
        <v>225</v>
      </c>
      <c r="J71" s="172">
        <v>78</v>
      </c>
      <c r="K71" s="172">
        <v>78</v>
      </c>
      <c r="L71" s="172"/>
      <c r="M71" s="172">
        <v>70</v>
      </c>
      <c r="N71" s="172">
        <v>68</v>
      </c>
      <c r="O71" s="172"/>
      <c r="P71" s="172">
        <v>69</v>
      </c>
      <c r="Q71" s="172">
        <v>72</v>
      </c>
      <c r="R71" s="172"/>
      <c r="S71" s="172">
        <v>47</v>
      </c>
      <c r="T71" s="172">
        <v>121</v>
      </c>
      <c r="U71" s="172">
        <v>156</v>
      </c>
      <c r="V71" s="172">
        <v>102</v>
      </c>
      <c r="W71" s="172">
        <v>119</v>
      </c>
      <c r="X71" s="172">
        <v>8</v>
      </c>
      <c r="Y71" s="172">
        <v>10.3</v>
      </c>
      <c r="Z71" s="172">
        <v>10.3</v>
      </c>
      <c r="AA71" s="172">
        <v>10.5</v>
      </c>
      <c r="AB71" s="172">
        <v>10.5</v>
      </c>
      <c r="AC71" s="172">
        <v>3.9</v>
      </c>
      <c r="AD71" s="172">
        <v>0.33</v>
      </c>
      <c r="AE71" s="172">
        <v>0.10100000000000001</v>
      </c>
      <c r="AF71" s="170">
        <v>79</v>
      </c>
      <c r="AG71" s="170">
        <v>9.6999999999999993</v>
      </c>
      <c r="AH71" s="170">
        <v>0.42</v>
      </c>
      <c r="AI71" s="170">
        <v>88.870674199999996</v>
      </c>
      <c r="AJ71" s="170">
        <v>-3.52190461</v>
      </c>
      <c r="AK71" s="170">
        <v>0.28756251100000002</v>
      </c>
      <c r="AL71" s="170">
        <v>-1.3774430000000001E-2</v>
      </c>
      <c r="AM71" s="170">
        <v>2.6091500000000002E-4</v>
      </c>
      <c r="AN71" s="170">
        <f>-1.6857*10^-6</f>
        <v>-1.6856999999999998E-6</v>
      </c>
      <c r="AO71" s="171">
        <v>1</v>
      </c>
      <c r="AP71" s="171">
        <v>1</v>
      </c>
      <c r="AQ71" s="171">
        <v>6</v>
      </c>
      <c r="AR71" s="171">
        <v>8</v>
      </c>
      <c r="AS71" s="171">
        <v>8</v>
      </c>
      <c r="AT71" s="171">
        <v>8</v>
      </c>
      <c r="AU71" s="171" t="s">
        <v>183</v>
      </c>
      <c r="AV71" s="179">
        <v>13</v>
      </c>
      <c r="AW71" s="179">
        <v>12</v>
      </c>
      <c r="AX71" s="179"/>
      <c r="AY71" s="179">
        <v>17</v>
      </c>
      <c r="AZ71" s="179">
        <v>15</v>
      </c>
      <c r="BA71" s="171"/>
      <c r="BC71" s="179"/>
      <c r="BD71" s="179"/>
      <c r="BE71" s="179"/>
      <c r="BF71" s="179"/>
      <c r="BG71" s="179"/>
      <c r="BH71" s="179"/>
      <c r="BI71" s="179"/>
      <c r="BJ71" s="179"/>
      <c r="BK71" s="179"/>
      <c r="BL71" s="181"/>
      <c r="BM71" s="181"/>
    </row>
    <row r="72" spans="2:65" s="170" customFormat="1">
      <c r="B72" s="173">
        <v>7075</v>
      </c>
      <c r="C72" s="175">
        <v>66</v>
      </c>
      <c r="D72" s="174"/>
      <c r="E72" s="173" t="s">
        <v>205</v>
      </c>
      <c r="F72" s="173" t="s">
        <v>182</v>
      </c>
      <c r="G72" s="173" t="s">
        <v>204</v>
      </c>
      <c r="H72" s="173" t="s">
        <v>149</v>
      </c>
      <c r="I72" s="173" t="s">
        <v>224</v>
      </c>
      <c r="J72" s="172">
        <v>78</v>
      </c>
      <c r="K72" s="172">
        <v>78</v>
      </c>
      <c r="L72" s="172"/>
      <c r="M72" s="172">
        <v>71</v>
      </c>
      <c r="N72" s="172">
        <v>69</v>
      </c>
      <c r="O72" s="172"/>
      <c r="P72" s="172">
        <v>70</v>
      </c>
      <c r="Q72" s="172">
        <v>73</v>
      </c>
      <c r="R72" s="172"/>
      <c r="S72" s="172">
        <v>47</v>
      </c>
      <c r="T72" s="172">
        <v>121</v>
      </c>
      <c r="U72" s="172">
        <v>156</v>
      </c>
      <c r="V72" s="172">
        <v>103</v>
      </c>
      <c r="W72" s="172">
        <v>121</v>
      </c>
      <c r="X72" s="172">
        <v>8</v>
      </c>
      <c r="Y72" s="172">
        <v>10.3</v>
      </c>
      <c r="Z72" s="172">
        <v>10.3</v>
      </c>
      <c r="AA72" s="172">
        <v>10.5</v>
      </c>
      <c r="AB72" s="172">
        <v>10.5</v>
      </c>
      <c r="AC72" s="172">
        <v>3.9</v>
      </c>
      <c r="AD72" s="172">
        <v>0.33</v>
      </c>
      <c r="AE72" s="172">
        <v>0.10100000000000001</v>
      </c>
      <c r="AF72" s="170">
        <v>79</v>
      </c>
      <c r="AG72" s="170">
        <v>9.6999999999999993</v>
      </c>
      <c r="AH72" s="170">
        <v>0.42</v>
      </c>
      <c r="AI72" s="170">
        <v>88.870674199999996</v>
      </c>
      <c r="AJ72" s="170">
        <v>-3.52190461</v>
      </c>
      <c r="AK72" s="170">
        <v>0.28756251100000002</v>
      </c>
      <c r="AL72" s="170">
        <v>-1.3774430000000001E-2</v>
      </c>
      <c r="AM72" s="170">
        <v>2.6091500000000002E-4</v>
      </c>
      <c r="AN72" s="170">
        <f>-1.6857*10^-6</f>
        <v>-1.6856999999999998E-6</v>
      </c>
      <c r="AO72" s="171">
        <v>1</v>
      </c>
      <c r="AP72" s="171">
        <v>1</v>
      </c>
      <c r="AQ72" s="171">
        <v>6</v>
      </c>
      <c r="AR72" s="171">
        <v>8</v>
      </c>
      <c r="AS72" s="171">
        <v>8</v>
      </c>
      <c r="AT72" s="171">
        <v>8</v>
      </c>
      <c r="AU72" s="171"/>
      <c r="AV72" s="179">
        <v>13</v>
      </c>
      <c r="AW72" s="179">
        <v>12</v>
      </c>
      <c r="AX72" s="179"/>
      <c r="AY72" s="179">
        <v>17</v>
      </c>
      <c r="AZ72" s="179">
        <v>15</v>
      </c>
      <c r="BA72" s="179"/>
      <c r="BC72" s="179"/>
      <c r="BD72" s="179"/>
      <c r="BE72" s="179"/>
      <c r="BF72" s="179"/>
      <c r="BG72" s="179"/>
      <c r="BH72" s="179"/>
      <c r="BI72" s="179"/>
      <c r="BJ72" s="179"/>
      <c r="BK72" s="179"/>
      <c r="BL72" s="181"/>
      <c r="BM72" s="181"/>
    </row>
    <row r="73" spans="2:65" s="170" customFormat="1">
      <c r="B73" s="173">
        <v>7075</v>
      </c>
      <c r="C73" s="175">
        <v>67</v>
      </c>
      <c r="D73" s="174"/>
      <c r="E73" s="173" t="s">
        <v>205</v>
      </c>
      <c r="F73" s="173" t="s">
        <v>175</v>
      </c>
      <c r="G73" s="173" t="s">
        <v>204</v>
      </c>
      <c r="H73" s="173" t="s">
        <v>149</v>
      </c>
      <c r="I73" s="173" t="s">
        <v>179</v>
      </c>
      <c r="J73" s="172"/>
      <c r="K73" s="172">
        <v>74</v>
      </c>
      <c r="L73" s="172"/>
      <c r="M73" s="172"/>
      <c r="N73" s="172">
        <v>63</v>
      </c>
      <c r="O73" s="172"/>
      <c r="P73" s="172"/>
      <c r="Q73" s="172"/>
      <c r="R73" s="172"/>
      <c r="S73" s="172"/>
      <c r="T73" s="172"/>
      <c r="U73" s="172"/>
      <c r="V73" s="172"/>
      <c r="W73" s="172"/>
      <c r="X73" s="172">
        <v>5</v>
      </c>
      <c r="Y73" s="172">
        <v>10.3</v>
      </c>
      <c r="Z73" s="172">
        <v>10.3</v>
      </c>
      <c r="AA73" s="172">
        <v>10.5</v>
      </c>
      <c r="AB73" s="172">
        <v>10.5</v>
      </c>
      <c r="AC73" s="172">
        <v>3.9</v>
      </c>
      <c r="AD73" s="172">
        <v>0.33</v>
      </c>
      <c r="AE73" s="172">
        <v>0.10100000000000001</v>
      </c>
      <c r="AF73" s="170">
        <v>78</v>
      </c>
      <c r="AG73" s="170">
        <v>9.6999999999999993</v>
      </c>
      <c r="AH73" s="170">
        <v>0.42</v>
      </c>
      <c r="AI73" s="170">
        <v>94.906880819999998</v>
      </c>
      <c r="AJ73" s="170">
        <v>-3.6756548100000002</v>
      </c>
      <c r="AK73" s="170">
        <v>0.21316246799999999</v>
      </c>
      <c r="AL73" s="170">
        <v>-9.2110100000000004E-3</v>
      </c>
      <c r="AM73" s="170">
        <v>1.6882099999999999E-4</v>
      </c>
      <c r="AN73" s="170">
        <f>-1.0688*10^-6</f>
        <v>-1.0687999999999998E-6</v>
      </c>
      <c r="AO73" s="171"/>
      <c r="AP73" s="171"/>
      <c r="AQ73" s="171"/>
      <c r="AR73" s="171"/>
      <c r="AS73" s="171"/>
      <c r="AT73" s="171"/>
      <c r="AU73" s="171" t="s">
        <v>183</v>
      </c>
      <c r="AV73" s="179">
        <v>25</v>
      </c>
      <c r="AW73" s="179">
        <v>22</v>
      </c>
      <c r="AX73" s="179"/>
      <c r="AY73" s="179">
        <v>22</v>
      </c>
      <c r="AZ73" s="179">
        <v>22</v>
      </c>
      <c r="BA73" s="171"/>
      <c r="BC73" s="179"/>
      <c r="BD73" s="179"/>
      <c r="BE73" s="179"/>
      <c r="BF73" s="179"/>
      <c r="BG73" s="179"/>
      <c r="BH73" s="179"/>
      <c r="BI73" s="179"/>
      <c r="BJ73" s="179"/>
      <c r="BK73" s="179"/>
      <c r="BL73" s="181"/>
      <c r="BM73" s="181"/>
    </row>
    <row r="74" spans="2:65" s="170" customFormat="1">
      <c r="B74" s="173">
        <v>7075</v>
      </c>
      <c r="C74" s="175">
        <v>68</v>
      </c>
      <c r="D74" s="174"/>
      <c r="E74" s="173" t="s">
        <v>205</v>
      </c>
      <c r="F74" s="173" t="s">
        <v>175</v>
      </c>
      <c r="G74" s="173" t="s">
        <v>204</v>
      </c>
      <c r="H74" s="173" t="s">
        <v>149</v>
      </c>
      <c r="I74" s="173" t="s">
        <v>178</v>
      </c>
      <c r="J74" s="172">
        <v>76</v>
      </c>
      <c r="K74" s="172">
        <v>76</v>
      </c>
      <c r="L74" s="172"/>
      <c r="M74" s="172">
        <v>69</v>
      </c>
      <c r="N74" s="172">
        <v>67</v>
      </c>
      <c r="O74" s="172"/>
      <c r="P74" s="172">
        <v>68</v>
      </c>
      <c r="Q74" s="172">
        <v>71</v>
      </c>
      <c r="R74" s="172"/>
      <c r="S74" s="172">
        <v>46</v>
      </c>
      <c r="T74" s="172">
        <v>118</v>
      </c>
      <c r="U74" s="172">
        <v>152</v>
      </c>
      <c r="V74" s="172">
        <v>100</v>
      </c>
      <c r="W74" s="172">
        <v>117</v>
      </c>
      <c r="X74" s="172">
        <v>7</v>
      </c>
      <c r="Y74" s="172">
        <v>10.3</v>
      </c>
      <c r="Z74" s="172">
        <v>10.3</v>
      </c>
      <c r="AA74" s="172">
        <v>10.5</v>
      </c>
      <c r="AB74" s="172">
        <v>10.5</v>
      </c>
      <c r="AC74" s="172">
        <v>3.9</v>
      </c>
      <c r="AD74" s="172">
        <v>0.33</v>
      </c>
      <c r="AE74" s="172">
        <v>0.10100000000000001</v>
      </c>
      <c r="AF74" s="170">
        <v>78</v>
      </c>
      <c r="AG74" s="170">
        <v>9.6999999999999993</v>
      </c>
      <c r="AH74" s="170">
        <v>0.42</v>
      </c>
      <c r="AI74" s="170">
        <v>94.906880819999998</v>
      </c>
      <c r="AJ74" s="170">
        <v>-3.6756548100000002</v>
      </c>
      <c r="AK74" s="170">
        <v>0.21316246799999999</v>
      </c>
      <c r="AL74" s="170">
        <v>-9.2110100000000004E-3</v>
      </c>
      <c r="AM74" s="170">
        <v>1.6882099999999999E-4</v>
      </c>
      <c r="AN74" s="170">
        <f>-1.0688*10^-6</f>
        <v>-1.0687999999999998E-6</v>
      </c>
      <c r="AO74" s="171"/>
      <c r="AP74" s="171"/>
      <c r="AQ74" s="171"/>
      <c r="AR74" s="171"/>
      <c r="AS74" s="171"/>
      <c r="AT74" s="171"/>
      <c r="AU74" s="171" t="s">
        <v>183</v>
      </c>
      <c r="AV74" s="179">
        <v>25</v>
      </c>
      <c r="AW74" s="179">
        <v>22</v>
      </c>
      <c r="AX74" s="179"/>
      <c r="AY74" s="179">
        <v>22</v>
      </c>
      <c r="AZ74" s="179">
        <v>22</v>
      </c>
      <c r="BA74" s="171"/>
      <c r="BC74" s="179"/>
      <c r="BD74" s="179"/>
      <c r="BE74" s="179"/>
      <c r="BF74" s="179"/>
      <c r="BG74" s="179"/>
      <c r="BH74" s="179"/>
      <c r="BI74" s="179"/>
      <c r="BJ74" s="179"/>
      <c r="BK74" s="179"/>
      <c r="BL74" s="181"/>
      <c r="BM74" s="181"/>
    </row>
    <row r="75" spans="2:65" s="170" customFormat="1">
      <c r="B75" s="173">
        <v>7075</v>
      </c>
      <c r="C75" s="175">
        <v>69</v>
      </c>
      <c r="D75" s="174"/>
      <c r="E75" s="173" t="s">
        <v>205</v>
      </c>
      <c r="F75" s="173" t="s">
        <v>175</v>
      </c>
      <c r="G75" s="173" t="s">
        <v>204</v>
      </c>
      <c r="H75" s="173" t="s">
        <v>149</v>
      </c>
      <c r="I75" s="173" t="s">
        <v>225</v>
      </c>
      <c r="J75" s="172">
        <v>78</v>
      </c>
      <c r="K75" s="172">
        <v>78</v>
      </c>
      <c r="L75" s="172"/>
      <c r="M75" s="172">
        <v>70</v>
      </c>
      <c r="N75" s="172">
        <v>68</v>
      </c>
      <c r="O75" s="172"/>
      <c r="P75" s="172">
        <v>69</v>
      </c>
      <c r="Q75" s="172">
        <v>72</v>
      </c>
      <c r="R75" s="172"/>
      <c r="S75" s="172">
        <v>47</v>
      </c>
      <c r="T75" s="172">
        <v>121</v>
      </c>
      <c r="U75" s="172">
        <v>156</v>
      </c>
      <c r="V75" s="172">
        <v>102</v>
      </c>
      <c r="W75" s="172">
        <v>119</v>
      </c>
      <c r="X75" s="172">
        <v>8</v>
      </c>
      <c r="Y75" s="172">
        <v>10.3</v>
      </c>
      <c r="Z75" s="172">
        <v>10.3</v>
      </c>
      <c r="AA75" s="172">
        <v>10.5</v>
      </c>
      <c r="AB75" s="172">
        <v>10.5</v>
      </c>
      <c r="AC75" s="172">
        <v>3.9</v>
      </c>
      <c r="AD75" s="172">
        <v>0.33</v>
      </c>
      <c r="AE75" s="172">
        <v>0.10100000000000001</v>
      </c>
      <c r="AF75" s="170">
        <v>79</v>
      </c>
      <c r="AG75" s="170">
        <v>9.6999999999999993</v>
      </c>
      <c r="AH75" s="170">
        <v>0.42</v>
      </c>
      <c r="AI75" s="170">
        <v>88.870674199999996</v>
      </c>
      <c r="AJ75" s="170">
        <v>-3.52190461</v>
      </c>
      <c r="AK75" s="170">
        <v>0.28756251100000002</v>
      </c>
      <c r="AL75" s="170">
        <v>-1.3774430000000001E-2</v>
      </c>
      <c r="AM75" s="170">
        <v>2.6091500000000002E-4</v>
      </c>
      <c r="AN75" s="170">
        <f>-1.6857*10^-6</f>
        <v>-1.6856999999999998E-6</v>
      </c>
      <c r="AO75" s="171"/>
      <c r="AP75" s="171"/>
      <c r="AQ75" s="171"/>
      <c r="AR75" s="171"/>
      <c r="AS75" s="171"/>
      <c r="AT75" s="171"/>
      <c r="AU75" s="171" t="s">
        <v>183</v>
      </c>
      <c r="AV75" s="179">
        <v>25</v>
      </c>
      <c r="AW75" s="179">
        <v>22</v>
      </c>
      <c r="AX75" s="179"/>
      <c r="AY75" s="179">
        <v>22</v>
      </c>
      <c r="AZ75" s="179">
        <v>22</v>
      </c>
      <c r="BA75" s="171"/>
      <c r="BC75" s="179"/>
      <c r="BD75" s="179"/>
      <c r="BE75" s="179"/>
      <c r="BF75" s="179"/>
      <c r="BG75" s="179"/>
      <c r="BH75" s="179"/>
      <c r="BI75" s="179"/>
      <c r="BJ75" s="179"/>
      <c r="BK75" s="179"/>
      <c r="BL75" s="181"/>
      <c r="BM75" s="181"/>
    </row>
    <row r="76" spans="2:65" s="170" customFormat="1">
      <c r="B76" s="173">
        <v>7075</v>
      </c>
      <c r="C76" s="175">
        <v>70</v>
      </c>
      <c r="D76" s="174"/>
      <c r="E76" s="173" t="s">
        <v>205</v>
      </c>
      <c r="F76" s="173" t="s">
        <v>175</v>
      </c>
      <c r="G76" s="173" t="s">
        <v>204</v>
      </c>
      <c r="H76" s="173" t="s">
        <v>149</v>
      </c>
      <c r="I76" s="173" t="s">
        <v>224</v>
      </c>
      <c r="J76" s="172">
        <v>78</v>
      </c>
      <c r="K76" s="172">
        <v>78</v>
      </c>
      <c r="L76" s="172"/>
      <c r="M76" s="172">
        <v>71</v>
      </c>
      <c r="N76" s="172">
        <v>69</v>
      </c>
      <c r="O76" s="172"/>
      <c r="P76" s="172">
        <v>70</v>
      </c>
      <c r="Q76" s="172">
        <v>73</v>
      </c>
      <c r="R76" s="172"/>
      <c r="S76" s="172">
        <v>47</v>
      </c>
      <c r="T76" s="172">
        <v>121</v>
      </c>
      <c r="U76" s="172">
        <v>156</v>
      </c>
      <c r="V76" s="172">
        <v>103</v>
      </c>
      <c r="W76" s="172">
        <v>121</v>
      </c>
      <c r="X76" s="172">
        <v>8</v>
      </c>
      <c r="Y76" s="172">
        <v>10.3</v>
      </c>
      <c r="Z76" s="172">
        <v>10.3</v>
      </c>
      <c r="AA76" s="172">
        <v>10.5</v>
      </c>
      <c r="AB76" s="172">
        <v>10.5</v>
      </c>
      <c r="AC76" s="172">
        <v>3.9</v>
      </c>
      <c r="AD76" s="172">
        <v>0.33</v>
      </c>
      <c r="AE76" s="172">
        <v>0.10100000000000001</v>
      </c>
      <c r="AF76" s="170">
        <v>79</v>
      </c>
      <c r="AG76" s="170">
        <v>9.6999999999999993</v>
      </c>
      <c r="AH76" s="170">
        <v>0.42</v>
      </c>
      <c r="AI76" s="170">
        <v>88.870674199999996</v>
      </c>
      <c r="AJ76" s="170">
        <v>-3.52190461</v>
      </c>
      <c r="AK76" s="170">
        <v>0.28756251100000002</v>
      </c>
      <c r="AL76" s="170">
        <v>-1.3774430000000001E-2</v>
      </c>
      <c r="AM76" s="170">
        <v>2.6091500000000002E-4</v>
      </c>
      <c r="AN76" s="170">
        <f>-1.6857*10^-6</f>
        <v>-1.6856999999999998E-6</v>
      </c>
      <c r="AO76" s="171"/>
      <c r="AP76" s="171"/>
      <c r="AQ76" s="171"/>
      <c r="AR76" s="171"/>
      <c r="AS76" s="171"/>
      <c r="AT76" s="171"/>
      <c r="AU76" s="171"/>
      <c r="AV76" s="179">
        <v>25</v>
      </c>
      <c r="AW76" s="179">
        <v>22</v>
      </c>
      <c r="AX76" s="179"/>
      <c r="AY76" s="179">
        <v>22</v>
      </c>
      <c r="AZ76" s="179">
        <v>22</v>
      </c>
      <c r="BA76" s="179"/>
      <c r="BC76" s="179"/>
      <c r="BD76" s="179"/>
      <c r="BE76" s="179"/>
      <c r="BF76" s="179"/>
      <c r="BG76" s="179"/>
      <c r="BH76" s="179"/>
      <c r="BI76" s="179"/>
      <c r="BJ76" s="179"/>
      <c r="BK76" s="179"/>
      <c r="BL76" s="181"/>
      <c r="BM76" s="181"/>
    </row>
    <row r="77" spans="2:65" s="170" customFormat="1">
      <c r="B77" s="173">
        <v>7075</v>
      </c>
      <c r="C77" s="175">
        <v>71</v>
      </c>
      <c r="D77" s="177"/>
      <c r="E77" s="173" t="s">
        <v>205</v>
      </c>
      <c r="F77" s="173" t="s">
        <v>164</v>
      </c>
      <c r="G77" s="173" t="s">
        <v>204</v>
      </c>
      <c r="H77" s="173" t="s">
        <v>149</v>
      </c>
      <c r="I77" s="173" t="s">
        <v>172</v>
      </c>
      <c r="J77" s="172">
        <v>77</v>
      </c>
      <c r="K77" s="172">
        <v>78</v>
      </c>
      <c r="L77" s="172"/>
      <c r="M77" s="172">
        <v>69</v>
      </c>
      <c r="N77" s="172">
        <v>67</v>
      </c>
      <c r="O77" s="172"/>
      <c r="P77" s="172">
        <v>67</v>
      </c>
      <c r="Q77" s="172">
        <v>71</v>
      </c>
      <c r="R77" s="172"/>
      <c r="S77" s="172">
        <v>43</v>
      </c>
      <c r="T77" s="172">
        <v>117</v>
      </c>
      <c r="U77" s="172">
        <v>145</v>
      </c>
      <c r="V77" s="172">
        <v>97</v>
      </c>
      <c r="W77" s="172">
        <v>114</v>
      </c>
      <c r="X77" s="172">
        <v>9</v>
      </c>
      <c r="Y77" s="172">
        <v>10.3</v>
      </c>
      <c r="Z77" s="172">
        <v>10.3</v>
      </c>
      <c r="AA77" s="172">
        <v>10.6</v>
      </c>
      <c r="AB77" s="172">
        <v>10.6</v>
      </c>
      <c r="AC77" s="172">
        <v>3.9</v>
      </c>
      <c r="AD77" s="172">
        <v>0.33</v>
      </c>
      <c r="AE77" s="172">
        <v>0.10100000000000001</v>
      </c>
      <c r="AO77" s="171">
        <v>1</v>
      </c>
      <c r="AP77" s="171">
        <v>1</v>
      </c>
      <c r="AQ77" s="171">
        <v>6</v>
      </c>
      <c r="AR77" s="171">
        <v>8</v>
      </c>
      <c r="AS77" s="171">
        <v>8</v>
      </c>
      <c r="AT77" s="171">
        <v>8</v>
      </c>
      <c r="AU77" s="171"/>
      <c r="AV77" s="179">
        <v>16</v>
      </c>
      <c r="AW77" s="179">
        <v>19</v>
      </c>
      <c r="AX77" s="179"/>
      <c r="AY77" s="179">
        <v>32</v>
      </c>
      <c r="AZ77" s="179">
        <v>17</v>
      </c>
      <c r="BA77" s="179"/>
      <c r="BC77" s="179"/>
      <c r="BD77" s="179"/>
      <c r="BE77" s="179"/>
      <c r="BF77" s="179"/>
      <c r="BG77" s="179"/>
      <c r="BH77" s="179"/>
      <c r="BI77" s="179"/>
      <c r="BJ77" s="179"/>
      <c r="BK77" s="179"/>
      <c r="BL77" s="181"/>
      <c r="BM77" s="181"/>
    </row>
    <row r="78" spans="2:65" s="170" customFormat="1">
      <c r="B78" s="173">
        <v>7075</v>
      </c>
      <c r="C78" s="175">
        <v>72</v>
      </c>
      <c r="D78" s="177"/>
      <c r="E78" s="173" t="s">
        <v>205</v>
      </c>
      <c r="F78" s="173" t="s">
        <v>164</v>
      </c>
      <c r="G78" s="173" t="s">
        <v>204</v>
      </c>
      <c r="H78" s="173" t="s">
        <v>149</v>
      </c>
      <c r="I78" s="173" t="s">
        <v>171</v>
      </c>
      <c r="J78" s="172">
        <v>77</v>
      </c>
      <c r="K78" s="172">
        <v>78</v>
      </c>
      <c r="L78" s="172"/>
      <c r="M78" s="172">
        <v>70</v>
      </c>
      <c r="N78" s="172">
        <v>68</v>
      </c>
      <c r="O78" s="172"/>
      <c r="P78" s="172">
        <v>68</v>
      </c>
      <c r="Q78" s="172">
        <v>72</v>
      </c>
      <c r="R78" s="172"/>
      <c r="S78" s="172">
        <v>44</v>
      </c>
      <c r="T78" s="172">
        <v>117</v>
      </c>
      <c r="U78" s="172">
        <v>145</v>
      </c>
      <c r="V78" s="172">
        <v>100</v>
      </c>
      <c r="W78" s="172">
        <v>117</v>
      </c>
      <c r="X78" s="172">
        <v>7</v>
      </c>
      <c r="Y78" s="172">
        <v>10.3</v>
      </c>
      <c r="Z78" s="172">
        <v>10.3</v>
      </c>
      <c r="AA78" s="172">
        <v>10.6</v>
      </c>
      <c r="AB78" s="172">
        <v>10.6</v>
      </c>
      <c r="AC78" s="172">
        <v>3.9</v>
      </c>
      <c r="AD78" s="172">
        <v>0.33</v>
      </c>
      <c r="AE78" s="172">
        <v>0.10100000000000001</v>
      </c>
      <c r="AO78" s="171">
        <v>2</v>
      </c>
      <c r="AP78" s="171">
        <v>2</v>
      </c>
      <c r="AQ78" s="171">
        <v>6</v>
      </c>
      <c r="AR78" s="171">
        <v>11</v>
      </c>
      <c r="AS78" s="171">
        <v>11</v>
      </c>
      <c r="AT78" s="171">
        <v>11</v>
      </c>
      <c r="AU78" s="171"/>
      <c r="AV78" s="179">
        <v>16</v>
      </c>
      <c r="AW78" s="179">
        <v>19</v>
      </c>
      <c r="AX78" s="179"/>
      <c r="AY78" s="179">
        <v>32</v>
      </c>
      <c r="AZ78" s="179">
        <v>17</v>
      </c>
      <c r="BA78" s="179"/>
      <c r="BC78" s="179"/>
      <c r="BD78" s="179"/>
      <c r="BE78" s="179"/>
      <c r="BF78" s="179"/>
      <c r="BG78" s="179"/>
      <c r="BH78" s="179"/>
      <c r="BI78" s="179"/>
      <c r="BJ78" s="179"/>
      <c r="BK78" s="179"/>
      <c r="BL78" s="181"/>
      <c r="BM78" s="181"/>
    </row>
    <row r="79" spans="2:65" s="170" customFormat="1">
      <c r="B79" s="173">
        <v>7075</v>
      </c>
      <c r="C79" s="175">
        <v>73</v>
      </c>
      <c r="D79" s="177"/>
      <c r="E79" s="173" t="s">
        <v>205</v>
      </c>
      <c r="F79" s="173" t="s">
        <v>164</v>
      </c>
      <c r="G79" s="173" t="s">
        <v>204</v>
      </c>
      <c r="H79" s="173" t="s">
        <v>149</v>
      </c>
      <c r="I79" s="173" t="s">
        <v>170</v>
      </c>
      <c r="J79" s="172">
        <v>76</v>
      </c>
      <c r="K79" s="172">
        <v>77</v>
      </c>
      <c r="L79" s="172"/>
      <c r="M79" s="172">
        <v>69</v>
      </c>
      <c r="N79" s="172">
        <v>67</v>
      </c>
      <c r="O79" s="172"/>
      <c r="P79" s="172">
        <v>66</v>
      </c>
      <c r="Q79" s="172">
        <v>71</v>
      </c>
      <c r="R79" s="172"/>
      <c r="S79" s="172">
        <v>44</v>
      </c>
      <c r="T79" s="172">
        <v>116</v>
      </c>
      <c r="U79" s="172">
        <v>143</v>
      </c>
      <c r="V79" s="172">
        <v>100</v>
      </c>
      <c r="W79" s="172">
        <v>117</v>
      </c>
      <c r="X79" s="172">
        <v>6</v>
      </c>
      <c r="Y79" s="172">
        <v>10.3</v>
      </c>
      <c r="Z79" s="172">
        <v>10.3</v>
      </c>
      <c r="AA79" s="172">
        <v>10.6</v>
      </c>
      <c r="AB79" s="172">
        <v>10.6</v>
      </c>
      <c r="AC79" s="172">
        <v>3.9</v>
      </c>
      <c r="AD79" s="172">
        <v>0.33</v>
      </c>
      <c r="AE79" s="172">
        <v>0.10100000000000001</v>
      </c>
      <c r="AO79" s="171">
        <v>4</v>
      </c>
      <c r="AP79" s="171">
        <v>4</v>
      </c>
      <c r="AQ79" s="171">
        <v>6</v>
      </c>
      <c r="AR79" s="171">
        <v>13</v>
      </c>
      <c r="AS79" s="171">
        <v>13</v>
      </c>
      <c r="AT79" s="171">
        <v>13</v>
      </c>
      <c r="AU79" s="171"/>
      <c r="AV79" s="179">
        <v>16</v>
      </c>
      <c r="AW79" s="179">
        <v>19</v>
      </c>
      <c r="AX79" s="179"/>
      <c r="AY79" s="179">
        <v>32</v>
      </c>
      <c r="AZ79" s="179">
        <v>17</v>
      </c>
      <c r="BA79" s="179"/>
      <c r="BC79" s="179"/>
      <c r="BD79" s="179"/>
      <c r="BE79" s="179"/>
      <c r="BF79" s="179"/>
      <c r="BG79" s="179"/>
      <c r="BH79" s="179"/>
      <c r="BI79" s="179"/>
      <c r="BJ79" s="179"/>
      <c r="BK79" s="179"/>
      <c r="BL79" s="181"/>
      <c r="BM79" s="181"/>
    </row>
    <row r="80" spans="2:65" s="170" customFormat="1">
      <c r="B80" s="173">
        <v>7075</v>
      </c>
      <c r="C80" s="175">
        <v>74</v>
      </c>
      <c r="D80" s="177"/>
      <c r="E80" s="173" t="s">
        <v>205</v>
      </c>
      <c r="F80" s="173" t="s">
        <v>164</v>
      </c>
      <c r="G80" s="173" t="s">
        <v>204</v>
      </c>
      <c r="H80" s="173" t="s">
        <v>149</v>
      </c>
      <c r="I80" s="173" t="s">
        <v>169</v>
      </c>
      <c r="J80" s="172">
        <v>75</v>
      </c>
      <c r="K80" s="172">
        <v>76</v>
      </c>
      <c r="L80" s="172">
        <v>70</v>
      </c>
      <c r="M80" s="172">
        <v>66</v>
      </c>
      <c r="N80" s="172">
        <v>64</v>
      </c>
      <c r="O80" s="172">
        <v>59</v>
      </c>
      <c r="P80" s="172">
        <v>62</v>
      </c>
      <c r="Q80" s="172">
        <v>68</v>
      </c>
      <c r="R80" s="172">
        <v>67</v>
      </c>
      <c r="S80" s="172">
        <v>44</v>
      </c>
      <c r="T80" s="172">
        <v>114</v>
      </c>
      <c r="U80" s="172">
        <v>141</v>
      </c>
      <c r="V80" s="172">
        <v>98</v>
      </c>
      <c r="W80" s="172">
        <v>113</v>
      </c>
      <c r="X80" s="172">
        <v>5</v>
      </c>
      <c r="Y80" s="172">
        <v>10.3</v>
      </c>
      <c r="Z80" s="172">
        <v>10.3</v>
      </c>
      <c r="AA80" s="172">
        <v>10.6</v>
      </c>
      <c r="AB80" s="172">
        <v>10.6</v>
      </c>
      <c r="AC80" s="172">
        <v>3.9</v>
      </c>
      <c r="AD80" s="172">
        <v>0.33</v>
      </c>
      <c r="AE80" s="172">
        <v>0.10100000000000001</v>
      </c>
      <c r="AO80" s="171">
        <v>4</v>
      </c>
      <c r="AP80" s="171">
        <v>4</v>
      </c>
      <c r="AQ80" s="171">
        <v>6</v>
      </c>
      <c r="AR80" s="171">
        <v>13</v>
      </c>
      <c r="AS80" s="171">
        <v>13</v>
      </c>
      <c r="AT80" s="171">
        <v>13</v>
      </c>
      <c r="AU80" s="171" t="s">
        <v>183</v>
      </c>
      <c r="AV80" s="179">
        <v>16</v>
      </c>
      <c r="AW80" s="179">
        <v>19</v>
      </c>
      <c r="AX80" s="179"/>
      <c r="AY80" s="179">
        <v>32</v>
      </c>
      <c r="AZ80" s="179">
        <v>17</v>
      </c>
      <c r="BA80" s="171"/>
      <c r="BC80" s="179"/>
      <c r="BD80" s="179"/>
      <c r="BE80" s="179"/>
      <c r="BF80" s="179"/>
      <c r="BG80" s="179"/>
      <c r="BH80" s="179"/>
      <c r="BI80" s="179"/>
      <c r="BJ80" s="179"/>
      <c r="BK80" s="179"/>
      <c r="BL80" s="181"/>
      <c r="BM80" s="181"/>
    </row>
    <row r="81" spans="1:65">
      <c r="B81" s="173">
        <v>7075</v>
      </c>
      <c r="C81" s="175">
        <v>75</v>
      </c>
      <c r="D81" s="177"/>
      <c r="E81" s="173" t="s">
        <v>205</v>
      </c>
      <c r="F81" s="173" t="s">
        <v>164</v>
      </c>
      <c r="G81" s="173" t="s">
        <v>204</v>
      </c>
      <c r="H81" s="173" t="s">
        <v>149</v>
      </c>
      <c r="I81" s="173" t="s">
        <v>168</v>
      </c>
      <c r="J81" s="172">
        <v>71</v>
      </c>
      <c r="K81" s="172">
        <v>72</v>
      </c>
      <c r="L81" s="172">
        <v>66</v>
      </c>
      <c r="M81" s="172">
        <v>63</v>
      </c>
      <c r="N81" s="172">
        <v>61</v>
      </c>
      <c r="O81" s="172">
        <v>56</v>
      </c>
      <c r="P81" s="172">
        <v>58</v>
      </c>
      <c r="Q81" s="172">
        <v>65</v>
      </c>
      <c r="R81" s="172">
        <v>64</v>
      </c>
      <c r="S81" s="172">
        <v>42</v>
      </c>
      <c r="T81" s="172">
        <v>108</v>
      </c>
      <c r="U81" s="172">
        <v>134</v>
      </c>
      <c r="V81" s="172">
        <v>94</v>
      </c>
      <c r="W81" s="172">
        <v>109</v>
      </c>
      <c r="X81" s="172">
        <v>5</v>
      </c>
      <c r="Y81" s="172">
        <v>10.3</v>
      </c>
      <c r="Z81" s="172">
        <v>10.3</v>
      </c>
      <c r="AA81" s="172">
        <v>10.6</v>
      </c>
      <c r="AB81" s="172">
        <v>10.6</v>
      </c>
      <c r="AC81" s="172">
        <v>3.9</v>
      </c>
      <c r="AD81" s="172">
        <v>0.33</v>
      </c>
      <c r="AE81" s="172">
        <v>0.10100000000000001</v>
      </c>
      <c r="AO81" s="171">
        <v>4</v>
      </c>
      <c r="AP81" s="171">
        <v>4</v>
      </c>
      <c r="AQ81" s="171">
        <v>6</v>
      </c>
      <c r="AR81" s="171">
        <v>13</v>
      </c>
      <c r="AS81" s="171">
        <v>13</v>
      </c>
      <c r="AT81" s="171">
        <v>13</v>
      </c>
      <c r="AU81" s="171" t="s">
        <v>183</v>
      </c>
      <c r="AV81" s="179">
        <v>16</v>
      </c>
      <c r="AW81" s="179">
        <v>19</v>
      </c>
      <c r="AX81" s="179"/>
      <c r="AY81" s="179">
        <v>32</v>
      </c>
      <c r="AZ81" s="179">
        <v>17</v>
      </c>
      <c r="BC81" s="179"/>
      <c r="BD81" s="179"/>
      <c r="BE81" s="179"/>
      <c r="BF81" s="179"/>
      <c r="BG81" s="179"/>
      <c r="BH81" s="179"/>
      <c r="BI81" s="179"/>
      <c r="BJ81" s="179"/>
      <c r="BK81" s="179"/>
      <c r="BL81" s="181"/>
      <c r="BM81" s="181"/>
    </row>
    <row r="82" spans="1:65">
      <c r="B82" s="173">
        <v>7075</v>
      </c>
      <c r="C82" s="175">
        <v>76</v>
      </c>
      <c r="D82" s="177"/>
      <c r="E82" s="173" t="s">
        <v>205</v>
      </c>
      <c r="F82" s="173" t="s">
        <v>164</v>
      </c>
      <c r="G82" s="173" t="s">
        <v>204</v>
      </c>
      <c r="H82" s="173" t="s">
        <v>149</v>
      </c>
      <c r="I82" s="173" t="s">
        <v>167</v>
      </c>
      <c r="J82" s="172">
        <v>70</v>
      </c>
      <c r="K82" s="172">
        <v>71</v>
      </c>
      <c r="L82" s="172">
        <v>65</v>
      </c>
      <c r="M82" s="172">
        <v>60</v>
      </c>
      <c r="N82" s="172">
        <v>58</v>
      </c>
      <c r="O82" s="172">
        <v>54</v>
      </c>
      <c r="P82" s="172">
        <v>55</v>
      </c>
      <c r="Q82" s="172">
        <v>61</v>
      </c>
      <c r="R82" s="172">
        <v>61</v>
      </c>
      <c r="S82" s="172">
        <v>42</v>
      </c>
      <c r="T82" s="172">
        <v>107</v>
      </c>
      <c r="U82" s="172">
        <v>132</v>
      </c>
      <c r="V82" s="172">
        <v>89</v>
      </c>
      <c r="W82" s="172">
        <v>104</v>
      </c>
      <c r="X82" s="172">
        <v>5</v>
      </c>
      <c r="Y82" s="172">
        <v>10.3</v>
      </c>
      <c r="Z82" s="172">
        <v>10.3</v>
      </c>
      <c r="AA82" s="172">
        <v>10.6</v>
      </c>
      <c r="AB82" s="172">
        <v>10.6</v>
      </c>
      <c r="AC82" s="172">
        <v>3.9</v>
      </c>
      <c r="AD82" s="172">
        <v>0.33</v>
      </c>
      <c r="AE82" s="172">
        <v>0.10100000000000001</v>
      </c>
      <c r="AO82" s="171">
        <v>4</v>
      </c>
      <c r="AP82" s="171">
        <v>4</v>
      </c>
      <c r="AQ82" s="171">
        <v>6</v>
      </c>
      <c r="AR82" s="171">
        <v>13</v>
      </c>
      <c r="AS82" s="171">
        <v>13</v>
      </c>
      <c r="AT82" s="171">
        <v>13</v>
      </c>
      <c r="AU82" s="171" t="s">
        <v>183</v>
      </c>
      <c r="AV82" s="179">
        <v>16</v>
      </c>
      <c r="AW82" s="179">
        <v>19</v>
      </c>
      <c r="AX82" s="179"/>
      <c r="AY82" s="179">
        <v>32</v>
      </c>
      <c r="AZ82" s="179">
        <v>17</v>
      </c>
      <c r="BC82" s="179"/>
      <c r="BD82" s="179"/>
      <c r="BE82" s="179"/>
      <c r="BF82" s="179"/>
      <c r="BG82" s="179"/>
      <c r="BH82" s="179"/>
      <c r="BI82" s="179"/>
      <c r="BJ82" s="179"/>
      <c r="BK82" s="179"/>
      <c r="BL82" s="181"/>
      <c r="BM82" s="181"/>
    </row>
    <row r="83" spans="1:65">
      <c r="B83" s="173">
        <v>7075</v>
      </c>
      <c r="C83" s="175">
        <v>77</v>
      </c>
      <c r="D83" s="177"/>
      <c r="E83" s="173" t="s">
        <v>205</v>
      </c>
      <c r="F83" s="173" t="s">
        <v>164</v>
      </c>
      <c r="G83" s="173" t="s">
        <v>204</v>
      </c>
      <c r="H83" s="173" t="s">
        <v>149</v>
      </c>
      <c r="I83" s="173" t="s">
        <v>161</v>
      </c>
      <c r="J83" s="172">
        <v>66</v>
      </c>
      <c r="K83" s="172">
        <v>67</v>
      </c>
      <c r="L83" s="172">
        <v>61</v>
      </c>
      <c r="M83" s="172">
        <v>56</v>
      </c>
      <c r="N83" s="172">
        <v>54</v>
      </c>
      <c r="O83" s="172">
        <v>50</v>
      </c>
      <c r="P83" s="172">
        <v>51</v>
      </c>
      <c r="Q83" s="172">
        <v>57</v>
      </c>
      <c r="R83" s="172">
        <v>57</v>
      </c>
      <c r="S83" s="172">
        <v>39</v>
      </c>
      <c r="T83" s="172">
        <v>101</v>
      </c>
      <c r="U83" s="172">
        <v>124</v>
      </c>
      <c r="V83" s="172">
        <v>84</v>
      </c>
      <c r="W83" s="172">
        <v>98</v>
      </c>
      <c r="X83" s="172">
        <v>3</v>
      </c>
      <c r="Y83" s="172">
        <v>10.3</v>
      </c>
      <c r="Z83" s="172">
        <v>10.3</v>
      </c>
      <c r="AA83" s="172">
        <v>10.6</v>
      </c>
      <c r="AB83" s="172">
        <v>10.6</v>
      </c>
      <c r="AC83" s="172">
        <v>3.9</v>
      </c>
      <c r="AD83" s="172">
        <v>0.33</v>
      </c>
      <c r="AE83" s="172">
        <v>0.10100000000000001</v>
      </c>
      <c r="AO83" s="171">
        <v>4</v>
      </c>
      <c r="AP83" s="171">
        <v>4</v>
      </c>
      <c r="AQ83" s="171">
        <v>6</v>
      </c>
      <c r="AR83" s="171">
        <v>13</v>
      </c>
      <c r="AS83" s="171">
        <v>13</v>
      </c>
      <c r="AT83" s="171">
        <v>13</v>
      </c>
      <c r="AU83" s="171" t="s">
        <v>183</v>
      </c>
      <c r="AV83" s="179">
        <v>16</v>
      </c>
      <c r="AW83" s="179">
        <v>19</v>
      </c>
      <c r="AX83" s="179"/>
      <c r="AY83" s="179">
        <v>32</v>
      </c>
      <c r="AZ83" s="179">
        <v>17</v>
      </c>
      <c r="BC83" s="179"/>
      <c r="BD83" s="179"/>
      <c r="BE83" s="179"/>
      <c r="BF83" s="179"/>
      <c r="BG83" s="179"/>
      <c r="BH83" s="179"/>
      <c r="BI83" s="179"/>
      <c r="BJ83" s="179"/>
      <c r="BK83" s="179"/>
      <c r="BL83" s="181"/>
      <c r="BM83" s="181"/>
    </row>
    <row r="84" spans="1:65">
      <c r="A84" s="173" t="s">
        <v>213</v>
      </c>
      <c r="B84" s="173">
        <v>7075</v>
      </c>
      <c r="C84" s="175">
        <v>78</v>
      </c>
      <c r="D84" s="177" t="s">
        <v>216</v>
      </c>
      <c r="E84" s="173" t="s">
        <v>211</v>
      </c>
      <c r="F84" s="173" t="s">
        <v>182</v>
      </c>
      <c r="G84" s="173" t="s">
        <v>210</v>
      </c>
      <c r="H84" s="173" t="s">
        <v>209</v>
      </c>
      <c r="I84" s="173" t="s">
        <v>221</v>
      </c>
      <c r="J84" s="172">
        <v>78</v>
      </c>
      <c r="K84" s="172">
        <v>75</v>
      </c>
      <c r="M84" s="172">
        <v>70</v>
      </c>
      <c r="N84" s="172">
        <v>66</v>
      </c>
      <c r="P84" s="172">
        <v>70</v>
      </c>
      <c r="Q84" s="172">
        <v>72</v>
      </c>
      <c r="S84" s="172">
        <v>41</v>
      </c>
      <c r="T84" s="172">
        <v>111</v>
      </c>
      <c r="U84" s="172">
        <v>140</v>
      </c>
      <c r="V84" s="172">
        <v>92</v>
      </c>
      <c r="W84" s="172">
        <v>108</v>
      </c>
      <c r="X84" s="172">
        <v>7</v>
      </c>
      <c r="Y84" s="172">
        <v>10.4</v>
      </c>
      <c r="Z84" s="172">
        <v>10.4</v>
      </c>
      <c r="AA84" s="172">
        <v>10.7</v>
      </c>
      <c r="AB84" s="172">
        <v>10.7</v>
      </c>
      <c r="AC84" s="172">
        <v>4</v>
      </c>
      <c r="AD84" s="172">
        <v>0.33</v>
      </c>
      <c r="AE84" s="172">
        <v>0.10100000000000001</v>
      </c>
      <c r="AO84" s="171"/>
      <c r="AP84" s="171"/>
      <c r="AQ84" s="171"/>
      <c r="AR84" s="171"/>
      <c r="AS84" s="171"/>
      <c r="AT84" s="171"/>
      <c r="AV84" s="179"/>
      <c r="AW84" s="179"/>
      <c r="AX84" s="179"/>
      <c r="AY84" s="179"/>
      <c r="AZ84" s="179"/>
      <c r="BC84" s="179"/>
      <c r="BD84" s="179"/>
      <c r="BE84" s="179"/>
      <c r="BF84" s="179"/>
      <c r="BG84" s="179"/>
      <c r="BH84" s="179"/>
      <c r="BI84" s="179"/>
      <c r="BJ84" s="179"/>
      <c r="BK84" s="179"/>
      <c r="BL84" s="181"/>
      <c r="BM84" s="181"/>
    </row>
    <row r="85" spans="1:65">
      <c r="A85" s="173" t="s">
        <v>213</v>
      </c>
      <c r="B85" s="173">
        <v>7075</v>
      </c>
      <c r="C85" s="175">
        <v>79</v>
      </c>
      <c r="D85" s="177" t="s">
        <v>216</v>
      </c>
      <c r="E85" s="173" t="s">
        <v>211</v>
      </c>
      <c r="F85" s="173" t="s">
        <v>182</v>
      </c>
      <c r="G85" s="173" t="s">
        <v>210</v>
      </c>
      <c r="H85" s="173" t="s">
        <v>209</v>
      </c>
      <c r="I85" s="173" t="s">
        <v>220</v>
      </c>
      <c r="J85" s="172">
        <v>81</v>
      </c>
      <c r="K85" s="172">
        <v>78</v>
      </c>
      <c r="M85" s="172">
        <v>73</v>
      </c>
      <c r="N85" s="172">
        <v>69</v>
      </c>
      <c r="P85" s="172">
        <v>73</v>
      </c>
      <c r="Q85" s="172">
        <v>74</v>
      </c>
      <c r="S85" s="172">
        <v>43</v>
      </c>
      <c r="T85" s="172">
        <v>115</v>
      </c>
      <c r="U85" s="172">
        <v>146</v>
      </c>
      <c r="V85" s="172">
        <v>96</v>
      </c>
      <c r="W85" s="172">
        <v>113</v>
      </c>
      <c r="X85" s="172">
        <v>7</v>
      </c>
      <c r="Y85" s="172">
        <v>10.4</v>
      </c>
      <c r="Z85" s="172">
        <v>10.4</v>
      </c>
      <c r="AA85" s="172">
        <v>10.7</v>
      </c>
      <c r="AB85" s="172">
        <v>10.7</v>
      </c>
      <c r="AC85" s="172">
        <v>4</v>
      </c>
      <c r="AD85" s="172">
        <v>0.33</v>
      </c>
      <c r="AE85" s="172">
        <v>0.10100000000000001</v>
      </c>
      <c r="AO85" s="171"/>
      <c r="AP85" s="171"/>
      <c r="AQ85" s="171"/>
      <c r="AR85" s="171"/>
      <c r="AS85" s="171"/>
      <c r="AT85" s="171"/>
      <c r="AV85" s="179"/>
      <c r="AW85" s="179"/>
      <c r="AX85" s="179"/>
      <c r="AY85" s="179"/>
      <c r="AZ85" s="179"/>
      <c r="BC85" s="179"/>
      <c r="BD85" s="179"/>
      <c r="BE85" s="179"/>
      <c r="BF85" s="179"/>
      <c r="BG85" s="179"/>
      <c r="BH85" s="179"/>
      <c r="BI85" s="179"/>
      <c r="BJ85" s="179"/>
      <c r="BK85" s="179"/>
      <c r="BL85" s="181"/>
      <c r="BM85" s="181"/>
    </row>
    <row r="86" spans="1:65">
      <c r="A86" s="173" t="s">
        <v>213</v>
      </c>
      <c r="B86" s="173">
        <v>7075</v>
      </c>
      <c r="C86" s="175">
        <v>80</v>
      </c>
      <c r="D86" s="177" t="s">
        <v>216</v>
      </c>
      <c r="E86" s="173" t="s">
        <v>211</v>
      </c>
      <c r="F86" s="173" t="s">
        <v>182</v>
      </c>
      <c r="G86" s="173" t="s">
        <v>210</v>
      </c>
      <c r="H86" s="173" t="s">
        <v>209</v>
      </c>
      <c r="I86" s="173" t="s">
        <v>219</v>
      </c>
      <c r="J86" s="172">
        <v>81</v>
      </c>
      <c r="K86" s="172">
        <v>77</v>
      </c>
      <c r="M86" s="172">
        <v>72</v>
      </c>
      <c r="N86" s="172">
        <v>67</v>
      </c>
      <c r="P86" s="172">
        <v>72</v>
      </c>
      <c r="Q86" s="172">
        <v>73</v>
      </c>
      <c r="S86" s="172">
        <v>43</v>
      </c>
      <c r="T86" s="172">
        <v>115</v>
      </c>
      <c r="U86" s="172">
        <v>145</v>
      </c>
      <c r="V86" s="172">
        <v>94</v>
      </c>
      <c r="W86" s="172">
        <v>111</v>
      </c>
      <c r="X86" s="172">
        <v>7</v>
      </c>
      <c r="Y86" s="172">
        <v>10.4</v>
      </c>
      <c r="Z86" s="172">
        <v>10.4</v>
      </c>
      <c r="AA86" s="172">
        <v>10.7</v>
      </c>
      <c r="AB86" s="172">
        <v>10.7</v>
      </c>
      <c r="AC86" s="172">
        <v>4</v>
      </c>
      <c r="AD86" s="172">
        <v>0.33</v>
      </c>
      <c r="AE86" s="172">
        <v>0.10100000000000001</v>
      </c>
      <c r="AO86" s="171"/>
      <c r="AP86" s="171"/>
      <c r="AQ86" s="171"/>
      <c r="AR86" s="171"/>
      <c r="AS86" s="171"/>
      <c r="AT86" s="171"/>
      <c r="AV86" s="179"/>
      <c r="AW86" s="179"/>
      <c r="AX86" s="179"/>
      <c r="AY86" s="179"/>
      <c r="AZ86" s="179"/>
      <c r="BC86" s="179"/>
      <c r="BD86" s="179"/>
      <c r="BE86" s="179"/>
      <c r="BF86" s="179"/>
      <c r="BG86" s="179"/>
      <c r="BH86" s="179"/>
      <c r="BI86" s="179"/>
      <c r="BJ86" s="179"/>
      <c r="BK86" s="179"/>
      <c r="BL86" s="181"/>
      <c r="BM86" s="181"/>
    </row>
    <row r="87" spans="1:65">
      <c r="A87" s="173" t="s">
        <v>213</v>
      </c>
      <c r="B87" s="173">
        <v>7075</v>
      </c>
      <c r="C87" s="175">
        <v>81</v>
      </c>
      <c r="D87" s="177" t="s">
        <v>216</v>
      </c>
      <c r="E87" s="173" t="s">
        <v>211</v>
      </c>
      <c r="F87" s="173" t="s">
        <v>182</v>
      </c>
      <c r="G87" s="173" t="s">
        <v>210</v>
      </c>
      <c r="H87" s="173" t="s">
        <v>209</v>
      </c>
      <c r="I87" s="173" t="s">
        <v>218</v>
      </c>
      <c r="J87" s="172">
        <v>81</v>
      </c>
      <c r="K87" s="172">
        <v>75</v>
      </c>
      <c r="M87" s="172">
        <v>72</v>
      </c>
      <c r="N87" s="172">
        <v>65</v>
      </c>
      <c r="P87" s="172">
        <v>72</v>
      </c>
      <c r="Q87" s="172">
        <v>71</v>
      </c>
      <c r="S87" s="172">
        <v>43</v>
      </c>
      <c r="T87" s="172">
        <v>113</v>
      </c>
      <c r="U87" s="172">
        <v>144</v>
      </c>
      <c r="V87" s="172">
        <v>93</v>
      </c>
      <c r="W87" s="172">
        <v>110</v>
      </c>
      <c r="X87" s="172">
        <v>7</v>
      </c>
      <c r="Y87" s="172">
        <v>10.4</v>
      </c>
      <c r="Z87" s="172">
        <v>10.4</v>
      </c>
      <c r="AA87" s="172">
        <v>10.7</v>
      </c>
      <c r="AB87" s="172">
        <v>10.7</v>
      </c>
      <c r="AC87" s="172">
        <v>4</v>
      </c>
      <c r="AD87" s="172">
        <v>0.33</v>
      </c>
      <c r="AE87" s="172">
        <v>0.10100000000000001</v>
      </c>
      <c r="AO87" s="171"/>
      <c r="AP87" s="171"/>
      <c r="AQ87" s="171"/>
      <c r="AR87" s="171"/>
      <c r="AS87" s="171"/>
      <c r="AT87" s="171"/>
      <c r="AV87" s="179"/>
      <c r="AW87" s="179"/>
      <c r="AX87" s="179"/>
      <c r="AY87" s="179"/>
      <c r="AZ87" s="179"/>
      <c r="BC87" s="179"/>
      <c r="BD87" s="179"/>
      <c r="BE87" s="179"/>
      <c r="BF87" s="179"/>
      <c r="BG87" s="179"/>
      <c r="BH87" s="179"/>
      <c r="BI87" s="179"/>
      <c r="BJ87" s="179"/>
      <c r="BK87" s="179"/>
      <c r="BL87" s="181"/>
      <c r="BM87" s="181"/>
    </row>
    <row r="88" spans="1:65">
      <c r="A88" s="173" t="s">
        <v>213</v>
      </c>
      <c r="B88" s="173">
        <v>7075</v>
      </c>
      <c r="C88" s="175">
        <v>82</v>
      </c>
      <c r="D88" s="177" t="s">
        <v>216</v>
      </c>
      <c r="E88" s="173" t="s">
        <v>211</v>
      </c>
      <c r="F88" s="173" t="s">
        <v>182</v>
      </c>
      <c r="G88" s="173" t="s">
        <v>210</v>
      </c>
      <c r="H88" s="173" t="s">
        <v>209</v>
      </c>
      <c r="I88" s="173" t="s">
        <v>217</v>
      </c>
      <c r="J88" s="172">
        <v>81</v>
      </c>
      <c r="K88" s="172">
        <v>71</v>
      </c>
      <c r="L88" s="172">
        <v>67</v>
      </c>
      <c r="M88" s="172">
        <v>72</v>
      </c>
      <c r="N88" s="172">
        <v>61</v>
      </c>
      <c r="O88" s="172">
        <v>56</v>
      </c>
      <c r="P88" s="172">
        <v>72</v>
      </c>
      <c r="Q88" s="172">
        <v>67</v>
      </c>
      <c r="R88" s="172">
        <v>62</v>
      </c>
      <c r="S88" s="172">
        <v>42</v>
      </c>
      <c r="T88" s="172">
        <v>110</v>
      </c>
      <c r="U88" s="172">
        <v>141</v>
      </c>
      <c r="V88" s="172">
        <v>89</v>
      </c>
      <c r="W88" s="172">
        <v>106</v>
      </c>
      <c r="X88" s="172">
        <v>7</v>
      </c>
      <c r="Y88" s="172">
        <v>10.4</v>
      </c>
      <c r="Z88" s="172">
        <v>10.4</v>
      </c>
      <c r="AA88" s="172">
        <v>10.7</v>
      </c>
      <c r="AB88" s="172">
        <v>10.7</v>
      </c>
      <c r="AC88" s="172">
        <v>4</v>
      </c>
      <c r="AD88" s="172">
        <v>0.33</v>
      </c>
      <c r="AE88" s="172">
        <v>0.10100000000000001</v>
      </c>
      <c r="AO88" s="171"/>
      <c r="AP88" s="171"/>
      <c r="AQ88" s="171"/>
      <c r="AR88" s="171"/>
      <c r="AS88" s="171"/>
      <c r="AT88" s="171"/>
      <c r="AV88" s="179"/>
      <c r="AW88" s="179"/>
      <c r="AX88" s="179"/>
      <c r="AY88" s="179"/>
      <c r="AZ88" s="179"/>
      <c r="BC88" s="179"/>
      <c r="BD88" s="179"/>
      <c r="BE88" s="179"/>
      <c r="BF88" s="179"/>
      <c r="BG88" s="179"/>
      <c r="BH88" s="179"/>
      <c r="BI88" s="179"/>
      <c r="BJ88" s="179"/>
      <c r="BK88" s="179"/>
      <c r="BL88" s="181"/>
      <c r="BM88" s="181"/>
    </row>
    <row r="89" spans="1:65">
      <c r="A89" s="173" t="s">
        <v>213</v>
      </c>
      <c r="B89" s="173">
        <v>7075</v>
      </c>
      <c r="C89" s="175">
        <v>83</v>
      </c>
      <c r="D89" s="177" t="s">
        <v>216</v>
      </c>
      <c r="E89" s="173" t="s">
        <v>211</v>
      </c>
      <c r="F89" s="173" t="s">
        <v>182</v>
      </c>
      <c r="G89" s="173" t="s">
        <v>210</v>
      </c>
      <c r="H89" s="173" t="s">
        <v>209</v>
      </c>
      <c r="I89" s="173" t="s">
        <v>214</v>
      </c>
      <c r="J89" s="172">
        <v>81</v>
      </c>
      <c r="K89" s="172">
        <v>67</v>
      </c>
      <c r="L89" s="172">
        <v>67</v>
      </c>
      <c r="M89" s="172">
        <v>71</v>
      </c>
      <c r="N89" s="172">
        <v>56</v>
      </c>
      <c r="O89" s="172">
        <v>55</v>
      </c>
      <c r="P89" s="172">
        <v>71</v>
      </c>
      <c r="Q89" s="172">
        <v>62</v>
      </c>
      <c r="R89" s="172">
        <v>62</v>
      </c>
      <c r="S89" s="172">
        <v>40</v>
      </c>
      <c r="T89" s="172">
        <v>106</v>
      </c>
      <c r="U89" s="172">
        <v>137</v>
      </c>
      <c r="V89" s="172">
        <v>84</v>
      </c>
      <c r="W89" s="172">
        <v>101</v>
      </c>
      <c r="X89" s="172">
        <v>7</v>
      </c>
      <c r="Y89" s="172">
        <v>10.4</v>
      </c>
      <c r="Z89" s="172">
        <v>10.4</v>
      </c>
      <c r="AA89" s="172">
        <v>10.7</v>
      </c>
      <c r="AB89" s="172">
        <v>10.7</v>
      </c>
      <c r="AC89" s="172">
        <v>4</v>
      </c>
      <c r="AD89" s="172">
        <v>0.33</v>
      </c>
      <c r="AE89" s="172">
        <v>0.10100000000000001</v>
      </c>
      <c r="AO89" s="171"/>
      <c r="AP89" s="171"/>
      <c r="AQ89" s="171"/>
      <c r="AR89" s="171"/>
      <c r="AS89" s="171"/>
      <c r="AT89" s="171"/>
      <c r="AV89" s="179"/>
      <c r="AW89" s="179"/>
      <c r="AX89" s="179"/>
      <c r="AY89" s="179"/>
      <c r="AZ89" s="179"/>
      <c r="BC89" s="179"/>
      <c r="BD89" s="179"/>
      <c r="BE89" s="179"/>
      <c r="BF89" s="179"/>
      <c r="BG89" s="179"/>
      <c r="BH89" s="179"/>
      <c r="BI89" s="179"/>
      <c r="BJ89" s="179"/>
      <c r="BK89" s="179"/>
      <c r="BL89" s="181"/>
      <c r="BM89" s="181"/>
    </row>
    <row r="90" spans="1:65">
      <c r="A90" s="173" t="s">
        <v>213</v>
      </c>
      <c r="B90" s="173">
        <v>7075</v>
      </c>
      <c r="C90" s="175">
        <v>84</v>
      </c>
      <c r="D90" s="177" t="s">
        <v>215</v>
      </c>
      <c r="E90" s="173" t="s">
        <v>211</v>
      </c>
      <c r="F90" s="173" t="s">
        <v>182</v>
      </c>
      <c r="G90" s="173" t="s">
        <v>210</v>
      </c>
      <c r="H90" s="173" t="s">
        <v>209</v>
      </c>
      <c r="I90" s="173" t="s">
        <v>214</v>
      </c>
      <c r="J90" s="172">
        <v>78</v>
      </c>
      <c r="K90" s="172">
        <v>64</v>
      </c>
      <c r="L90" s="172">
        <v>64</v>
      </c>
      <c r="M90" s="172">
        <v>70</v>
      </c>
      <c r="N90" s="172">
        <v>55</v>
      </c>
      <c r="O90" s="172">
        <v>55</v>
      </c>
      <c r="P90" s="172">
        <v>70</v>
      </c>
      <c r="Q90" s="172">
        <v>61</v>
      </c>
      <c r="R90" s="172">
        <v>61</v>
      </c>
      <c r="S90" s="172">
        <v>39</v>
      </c>
      <c r="T90" s="172">
        <v>102</v>
      </c>
      <c r="U90" s="172">
        <v>132</v>
      </c>
      <c r="V90" s="172">
        <v>83</v>
      </c>
      <c r="W90" s="172">
        <v>100</v>
      </c>
      <c r="X90" s="172">
        <v>6</v>
      </c>
      <c r="Y90" s="172">
        <v>10.4</v>
      </c>
      <c r="Z90" s="172">
        <v>10.4</v>
      </c>
      <c r="AA90" s="172">
        <v>10.7</v>
      </c>
      <c r="AB90" s="172">
        <v>10.7</v>
      </c>
      <c r="AC90" s="172">
        <v>4</v>
      </c>
      <c r="AD90" s="172">
        <v>0.33</v>
      </c>
      <c r="AE90" s="172">
        <v>0.10100000000000001</v>
      </c>
      <c r="AO90" s="171"/>
      <c r="AP90" s="171"/>
      <c r="AQ90" s="171"/>
      <c r="AR90" s="171"/>
      <c r="AS90" s="171"/>
      <c r="AT90" s="171"/>
      <c r="AV90" s="179"/>
      <c r="AW90" s="179"/>
      <c r="AX90" s="179"/>
      <c r="AY90" s="179"/>
      <c r="AZ90" s="179"/>
      <c r="BC90" s="179"/>
      <c r="BD90" s="179"/>
      <c r="BE90" s="179"/>
      <c r="BF90" s="179"/>
      <c r="BG90" s="179"/>
      <c r="BH90" s="179"/>
      <c r="BI90" s="179"/>
      <c r="BJ90" s="179"/>
      <c r="BK90" s="179"/>
      <c r="BL90" s="181"/>
      <c r="BM90" s="181"/>
    </row>
    <row r="91" spans="1:65">
      <c r="A91" s="173" t="s">
        <v>213</v>
      </c>
      <c r="B91" s="173">
        <v>7075</v>
      </c>
      <c r="C91" s="175">
        <v>85</v>
      </c>
      <c r="D91" s="177" t="s">
        <v>212</v>
      </c>
      <c r="E91" s="173" t="s">
        <v>211</v>
      </c>
      <c r="F91" s="173" t="s">
        <v>182</v>
      </c>
      <c r="G91" s="173" t="s">
        <v>210</v>
      </c>
      <c r="H91" s="173" t="s">
        <v>209</v>
      </c>
      <c r="I91" s="173" t="s">
        <v>208</v>
      </c>
      <c r="J91" s="172">
        <v>78</v>
      </c>
      <c r="K91" s="172">
        <v>63</v>
      </c>
      <c r="L91" s="172">
        <v>63</v>
      </c>
      <c r="M91" s="172">
        <v>68</v>
      </c>
      <c r="N91" s="172">
        <v>52</v>
      </c>
      <c r="O91" s="172">
        <v>52</v>
      </c>
      <c r="P91" s="172">
        <v>68</v>
      </c>
      <c r="Q91" s="172">
        <v>57</v>
      </c>
      <c r="R91" s="172">
        <v>57</v>
      </c>
      <c r="S91" s="172">
        <v>38</v>
      </c>
      <c r="T91" s="172">
        <v>101</v>
      </c>
      <c r="U91" s="172">
        <v>131</v>
      </c>
      <c r="V91" s="172">
        <v>79</v>
      </c>
      <c r="W91" s="172">
        <v>95</v>
      </c>
      <c r="X91" s="172">
        <v>6</v>
      </c>
      <c r="Y91" s="172">
        <v>10.4</v>
      </c>
      <c r="Z91" s="172">
        <v>10.4</v>
      </c>
      <c r="AA91" s="172">
        <v>10.7</v>
      </c>
      <c r="AB91" s="172">
        <v>10.7</v>
      </c>
      <c r="AC91" s="172">
        <v>4</v>
      </c>
      <c r="AD91" s="172">
        <v>0.33</v>
      </c>
      <c r="AE91" s="172">
        <v>0.10100000000000001</v>
      </c>
      <c r="AO91" s="171"/>
      <c r="AP91" s="171"/>
      <c r="AQ91" s="171"/>
      <c r="AR91" s="171"/>
      <c r="AS91" s="171"/>
      <c r="AT91" s="171"/>
      <c r="AV91" s="179"/>
      <c r="AW91" s="179"/>
      <c r="AX91" s="179"/>
      <c r="AY91" s="179"/>
      <c r="AZ91" s="179"/>
      <c r="BC91" s="179"/>
      <c r="BD91" s="179"/>
      <c r="BE91" s="179"/>
      <c r="BF91" s="179"/>
      <c r="BG91" s="179"/>
      <c r="BH91" s="179"/>
      <c r="BI91" s="179"/>
      <c r="BJ91" s="179"/>
      <c r="BK91" s="179"/>
      <c r="BL91" s="181"/>
      <c r="BM91" s="181"/>
    </row>
    <row r="92" spans="1:65">
      <c r="A92" s="173" t="s">
        <v>213</v>
      </c>
      <c r="B92" s="173">
        <v>7075</v>
      </c>
      <c r="C92" s="175">
        <v>86</v>
      </c>
      <c r="D92" s="177" t="s">
        <v>216</v>
      </c>
      <c r="E92" s="173" t="s">
        <v>211</v>
      </c>
      <c r="F92" s="173" t="s">
        <v>223</v>
      </c>
      <c r="G92" s="173" t="s">
        <v>210</v>
      </c>
      <c r="H92" s="173" t="s">
        <v>209</v>
      </c>
      <c r="I92" s="173" t="s">
        <v>221</v>
      </c>
      <c r="J92" s="172">
        <v>78</v>
      </c>
      <c r="K92" s="172">
        <v>75</v>
      </c>
      <c r="M92" s="172">
        <v>70</v>
      </c>
      <c r="N92" s="172">
        <v>66</v>
      </c>
      <c r="P92" s="172">
        <v>70</v>
      </c>
      <c r="Q92" s="172">
        <v>72</v>
      </c>
      <c r="S92" s="172">
        <v>41</v>
      </c>
      <c r="T92" s="172">
        <v>111</v>
      </c>
      <c r="U92" s="172">
        <v>140</v>
      </c>
      <c r="V92" s="172">
        <v>92</v>
      </c>
      <c r="W92" s="172">
        <v>108</v>
      </c>
      <c r="X92" s="172">
        <v>7</v>
      </c>
      <c r="Y92" s="172">
        <v>10.4</v>
      </c>
      <c r="Z92" s="172">
        <v>10.4</v>
      </c>
      <c r="AA92" s="172">
        <v>10.7</v>
      </c>
      <c r="AB92" s="172">
        <v>10.7</v>
      </c>
      <c r="AC92" s="172">
        <v>4</v>
      </c>
      <c r="AD92" s="172">
        <v>0.33</v>
      </c>
      <c r="AE92" s="172">
        <v>0.10100000000000001</v>
      </c>
      <c r="AO92" s="171"/>
      <c r="AP92" s="171"/>
      <c r="AQ92" s="171"/>
      <c r="AR92" s="171"/>
      <c r="AS92" s="171"/>
      <c r="AT92" s="171"/>
      <c r="AU92" s="171" t="s">
        <v>183</v>
      </c>
      <c r="AV92" s="179">
        <v>26</v>
      </c>
      <c r="AW92" s="179">
        <v>27</v>
      </c>
      <c r="AX92" s="179"/>
      <c r="AY92" s="179">
        <v>50</v>
      </c>
      <c r="AZ92" s="179">
        <v>22</v>
      </c>
      <c r="BC92" s="179"/>
      <c r="BD92" s="179"/>
      <c r="BE92" s="179"/>
      <c r="BF92" s="179"/>
      <c r="BG92" s="179"/>
      <c r="BH92" s="179"/>
      <c r="BI92" s="179"/>
      <c r="BJ92" s="179"/>
      <c r="BK92" s="179"/>
      <c r="BL92" s="181"/>
      <c r="BM92" s="181"/>
    </row>
    <row r="93" spans="1:65">
      <c r="A93" s="173" t="s">
        <v>213</v>
      </c>
      <c r="B93" s="173">
        <v>7075</v>
      </c>
      <c r="C93" s="175">
        <v>87</v>
      </c>
      <c r="D93" s="177" t="s">
        <v>216</v>
      </c>
      <c r="E93" s="173" t="s">
        <v>211</v>
      </c>
      <c r="F93" s="173" t="s">
        <v>223</v>
      </c>
      <c r="G93" s="173" t="s">
        <v>210</v>
      </c>
      <c r="H93" s="173" t="s">
        <v>209</v>
      </c>
      <c r="I93" s="173" t="s">
        <v>220</v>
      </c>
      <c r="J93" s="172">
        <v>81</v>
      </c>
      <c r="K93" s="172">
        <v>78</v>
      </c>
      <c r="M93" s="172">
        <v>73</v>
      </c>
      <c r="N93" s="172">
        <v>69</v>
      </c>
      <c r="P93" s="172">
        <v>73</v>
      </c>
      <c r="Q93" s="172">
        <v>74</v>
      </c>
      <c r="S93" s="172">
        <v>43</v>
      </c>
      <c r="T93" s="172">
        <v>115</v>
      </c>
      <c r="U93" s="172">
        <v>146</v>
      </c>
      <c r="V93" s="172">
        <v>96</v>
      </c>
      <c r="W93" s="172">
        <v>113</v>
      </c>
      <c r="X93" s="172">
        <v>7</v>
      </c>
      <c r="Y93" s="172">
        <v>10.4</v>
      </c>
      <c r="Z93" s="172">
        <v>10.4</v>
      </c>
      <c r="AA93" s="172">
        <v>10.7</v>
      </c>
      <c r="AB93" s="172">
        <v>10.7</v>
      </c>
      <c r="AC93" s="172">
        <v>4</v>
      </c>
      <c r="AD93" s="172">
        <v>0.33</v>
      </c>
      <c r="AE93" s="172">
        <v>0.10100000000000001</v>
      </c>
      <c r="AO93" s="171"/>
      <c r="AP93" s="171"/>
      <c r="AQ93" s="171"/>
      <c r="AR93" s="171"/>
      <c r="AS93" s="171"/>
      <c r="AT93" s="171"/>
      <c r="AU93" s="171" t="s">
        <v>183</v>
      </c>
      <c r="AV93" s="179">
        <v>26</v>
      </c>
      <c r="AW93" s="179">
        <v>27</v>
      </c>
      <c r="AX93" s="179"/>
      <c r="AY93" s="179">
        <v>50</v>
      </c>
      <c r="AZ93" s="179">
        <v>22</v>
      </c>
      <c r="BC93" s="179"/>
      <c r="BD93" s="179"/>
      <c r="BE93" s="179"/>
      <c r="BF93" s="179"/>
      <c r="BG93" s="179"/>
      <c r="BH93" s="179"/>
      <c r="BI93" s="179"/>
      <c r="BJ93" s="179"/>
      <c r="BK93" s="179"/>
      <c r="BL93" s="181"/>
      <c r="BM93" s="181"/>
    </row>
    <row r="94" spans="1:65">
      <c r="A94" s="173" t="s">
        <v>213</v>
      </c>
      <c r="B94" s="173">
        <v>7075</v>
      </c>
      <c r="C94" s="175">
        <v>88</v>
      </c>
      <c r="D94" s="177" t="s">
        <v>216</v>
      </c>
      <c r="E94" s="173" t="s">
        <v>211</v>
      </c>
      <c r="F94" s="173" t="s">
        <v>223</v>
      </c>
      <c r="G94" s="173" t="s">
        <v>210</v>
      </c>
      <c r="H94" s="173" t="s">
        <v>209</v>
      </c>
      <c r="I94" s="173" t="s">
        <v>219</v>
      </c>
      <c r="J94" s="172">
        <v>81</v>
      </c>
      <c r="K94" s="172">
        <v>77</v>
      </c>
      <c r="M94" s="172">
        <v>72</v>
      </c>
      <c r="N94" s="172">
        <v>67</v>
      </c>
      <c r="P94" s="172">
        <v>72</v>
      </c>
      <c r="Q94" s="172">
        <v>73</v>
      </c>
      <c r="S94" s="172">
        <v>43</v>
      </c>
      <c r="T94" s="172">
        <v>115</v>
      </c>
      <c r="U94" s="172">
        <v>145</v>
      </c>
      <c r="V94" s="172">
        <v>94</v>
      </c>
      <c r="W94" s="172">
        <v>111</v>
      </c>
      <c r="X94" s="172">
        <v>7</v>
      </c>
      <c r="Y94" s="172">
        <v>10.4</v>
      </c>
      <c r="Z94" s="172">
        <v>10.4</v>
      </c>
      <c r="AA94" s="172">
        <v>10.7</v>
      </c>
      <c r="AB94" s="172">
        <v>10.7</v>
      </c>
      <c r="AC94" s="172">
        <v>4</v>
      </c>
      <c r="AD94" s="172">
        <v>0.33</v>
      </c>
      <c r="AE94" s="172">
        <v>0.10100000000000001</v>
      </c>
      <c r="AO94" s="171"/>
      <c r="AP94" s="171"/>
      <c r="AQ94" s="171"/>
      <c r="AR94" s="171"/>
      <c r="AS94" s="171"/>
      <c r="AT94" s="171"/>
      <c r="AV94" s="179">
        <v>26</v>
      </c>
      <c r="AW94" s="179">
        <v>27</v>
      </c>
      <c r="AX94" s="179"/>
      <c r="AY94" s="179">
        <v>50</v>
      </c>
      <c r="AZ94" s="179">
        <v>22</v>
      </c>
      <c r="BC94" s="179"/>
      <c r="BD94" s="179"/>
      <c r="BE94" s="179"/>
      <c r="BF94" s="179"/>
      <c r="BG94" s="179"/>
      <c r="BH94" s="179"/>
      <c r="BI94" s="179"/>
      <c r="BJ94" s="179"/>
      <c r="BK94" s="179"/>
      <c r="BL94" s="181"/>
      <c r="BM94" s="181"/>
    </row>
    <row r="95" spans="1:65">
      <c r="A95" s="173" t="s">
        <v>213</v>
      </c>
      <c r="B95" s="173">
        <v>7075</v>
      </c>
      <c r="C95" s="175">
        <v>89</v>
      </c>
      <c r="D95" s="177" t="s">
        <v>216</v>
      </c>
      <c r="E95" s="173" t="s">
        <v>211</v>
      </c>
      <c r="F95" s="173" t="s">
        <v>223</v>
      </c>
      <c r="G95" s="173" t="s">
        <v>210</v>
      </c>
      <c r="H95" s="173" t="s">
        <v>209</v>
      </c>
      <c r="I95" s="173" t="s">
        <v>218</v>
      </c>
      <c r="J95" s="172">
        <v>81</v>
      </c>
      <c r="K95" s="172">
        <v>75</v>
      </c>
      <c r="M95" s="172">
        <v>72</v>
      </c>
      <c r="N95" s="172">
        <v>65</v>
      </c>
      <c r="P95" s="172">
        <v>72</v>
      </c>
      <c r="Q95" s="172">
        <v>71</v>
      </c>
      <c r="S95" s="172">
        <v>43</v>
      </c>
      <c r="T95" s="172">
        <v>113</v>
      </c>
      <c r="U95" s="172">
        <v>144</v>
      </c>
      <c r="V95" s="172">
        <v>93</v>
      </c>
      <c r="W95" s="172">
        <v>110</v>
      </c>
      <c r="X95" s="172">
        <v>7</v>
      </c>
      <c r="Y95" s="172">
        <v>10.4</v>
      </c>
      <c r="Z95" s="172">
        <v>10.4</v>
      </c>
      <c r="AA95" s="172">
        <v>10.7</v>
      </c>
      <c r="AB95" s="172">
        <v>10.7</v>
      </c>
      <c r="AC95" s="172">
        <v>4</v>
      </c>
      <c r="AD95" s="172">
        <v>0.33</v>
      </c>
      <c r="AE95" s="172">
        <v>0.10100000000000001</v>
      </c>
      <c r="AO95" s="171"/>
      <c r="AP95" s="171"/>
      <c r="AQ95" s="171"/>
      <c r="AR95" s="171"/>
      <c r="AS95" s="171"/>
      <c r="AT95" s="171"/>
      <c r="AU95" s="171" t="s">
        <v>183</v>
      </c>
      <c r="AV95" s="179">
        <v>26</v>
      </c>
      <c r="AW95" s="179">
        <v>27</v>
      </c>
      <c r="AX95" s="179"/>
      <c r="AY95" s="179">
        <v>50</v>
      </c>
      <c r="AZ95" s="179">
        <v>22</v>
      </c>
      <c r="BC95" s="179"/>
      <c r="BD95" s="179"/>
      <c r="BE95" s="179"/>
      <c r="BF95" s="179"/>
      <c r="BG95" s="179"/>
      <c r="BH95" s="179"/>
      <c r="BI95" s="179"/>
      <c r="BJ95" s="179"/>
      <c r="BK95" s="179"/>
      <c r="BL95" s="181"/>
      <c r="BM95" s="181"/>
    </row>
    <row r="96" spans="1:65">
      <c r="A96" s="173" t="s">
        <v>213</v>
      </c>
      <c r="B96" s="173">
        <v>7075</v>
      </c>
      <c r="C96" s="175">
        <v>90</v>
      </c>
      <c r="D96" s="177" t="s">
        <v>216</v>
      </c>
      <c r="E96" s="173" t="s">
        <v>211</v>
      </c>
      <c r="F96" s="173" t="s">
        <v>223</v>
      </c>
      <c r="G96" s="173" t="s">
        <v>210</v>
      </c>
      <c r="H96" s="173" t="s">
        <v>209</v>
      </c>
      <c r="I96" s="173" t="s">
        <v>217</v>
      </c>
      <c r="J96" s="172">
        <v>81</v>
      </c>
      <c r="K96" s="172">
        <v>71</v>
      </c>
      <c r="L96" s="172">
        <v>67</v>
      </c>
      <c r="M96" s="172">
        <v>72</v>
      </c>
      <c r="N96" s="172">
        <v>61</v>
      </c>
      <c r="O96" s="172">
        <v>56</v>
      </c>
      <c r="P96" s="172">
        <v>72</v>
      </c>
      <c r="Q96" s="172">
        <v>67</v>
      </c>
      <c r="R96" s="172">
        <v>62</v>
      </c>
      <c r="S96" s="172">
        <v>42</v>
      </c>
      <c r="T96" s="172">
        <v>110</v>
      </c>
      <c r="U96" s="172">
        <v>141</v>
      </c>
      <c r="V96" s="172">
        <v>89</v>
      </c>
      <c r="W96" s="172">
        <v>106</v>
      </c>
      <c r="X96" s="172">
        <v>7</v>
      </c>
      <c r="Y96" s="172">
        <v>10.4</v>
      </c>
      <c r="Z96" s="172">
        <v>10.4</v>
      </c>
      <c r="AA96" s="172">
        <v>10.7</v>
      </c>
      <c r="AB96" s="172">
        <v>10.7</v>
      </c>
      <c r="AC96" s="172">
        <v>4</v>
      </c>
      <c r="AD96" s="172">
        <v>0.33</v>
      </c>
      <c r="AE96" s="172">
        <v>0.10100000000000001</v>
      </c>
      <c r="AO96" s="171"/>
      <c r="AP96" s="171"/>
      <c r="AQ96" s="171"/>
      <c r="AR96" s="171"/>
      <c r="AS96" s="171"/>
      <c r="AT96" s="171"/>
      <c r="AU96" s="171" t="s">
        <v>183</v>
      </c>
      <c r="AV96" s="179">
        <v>26</v>
      </c>
      <c r="AW96" s="179">
        <v>27</v>
      </c>
      <c r="AX96" s="179"/>
      <c r="AY96" s="179">
        <v>50</v>
      </c>
      <c r="AZ96" s="179">
        <v>22</v>
      </c>
      <c r="BC96" s="179"/>
      <c r="BD96" s="179"/>
      <c r="BE96" s="179"/>
      <c r="BF96" s="179"/>
      <c r="BG96" s="179"/>
      <c r="BH96" s="179"/>
      <c r="BI96" s="179"/>
      <c r="BJ96" s="179"/>
      <c r="BK96" s="179"/>
      <c r="BL96" s="181"/>
      <c r="BM96" s="181"/>
    </row>
    <row r="97" spans="1:65">
      <c r="A97" s="173" t="s">
        <v>213</v>
      </c>
      <c r="B97" s="173">
        <v>7075</v>
      </c>
      <c r="C97" s="175">
        <v>91</v>
      </c>
      <c r="D97" s="177" t="s">
        <v>216</v>
      </c>
      <c r="E97" s="173" t="s">
        <v>211</v>
      </c>
      <c r="F97" s="173" t="s">
        <v>223</v>
      </c>
      <c r="G97" s="173" t="s">
        <v>210</v>
      </c>
      <c r="H97" s="173" t="s">
        <v>209</v>
      </c>
      <c r="I97" s="173" t="s">
        <v>214</v>
      </c>
      <c r="J97" s="172">
        <v>81</v>
      </c>
      <c r="K97" s="172">
        <v>67</v>
      </c>
      <c r="L97" s="172">
        <v>67</v>
      </c>
      <c r="M97" s="172">
        <v>71</v>
      </c>
      <c r="N97" s="172">
        <v>56</v>
      </c>
      <c r="O97" s="172">
        <v>55</v>
      </c>
      <c r="P97" s="172">
        <v>71</v>
      </c>
      <c r="Q97" s="172">
        <v>62</v>
      </c>
      <c r="R97" s="172">
        <v>62</v>
      </c>
      <c r="S97" s="172">
        <v>40</v>
      </c>
      <c r="T97" s="172">
        <v>106</v>
      </c>
      <c r="U97" s="172">
        <v>137</v>
      </c>
      <c r="V97" s="172">
        <v>84</v>
      </c>
      <c r="W97" s="172">
        <v>101</v>
      </c>
      <c r="X97" s="172">
        <v>7</v>
      </c>
      <c r="Y97" s="172">
        <v>10.4</v>
      </c>
      <c r="Z97" s="172">
        <v>10.4</v>
      </c>
      <c r="AA97" s="172">
        <v>10.7</v>
      </c>
      <c r="AB97" s="172">
        <v>10.7</v>
      </c>
      <c r="AC97" s="172">
        <v>4</v>
      </c>
      <c r="AD97" s="172">
        <v>0.33</v>
      </c>
      <c r="AE97" s="172">
        <v>0.10100000000000001</v>
      </c>
      <c r="AO97" s="171"/>
      <c r="AP97" s="171"/>
      <c r="AQ97" s="171"/>
      <c r="AR97" s="171"/>
      <c r="AS97" s="171"/>
      <c r="AT97" s="171"/>
      <c r="AU97" s="171" t="s">
        <v>183</v>
      </c>
      <c r="AV97" s="179">
        <v>26</v>
      </c>
      <c r="AW97" s="179">
        <v>27</v>
      </c>
      <c r="AX97" s="179"/>
      <c r="AY97" s="179">
        <v>50</v>
      </c>
      <c r="AZ97" s="179">
        <v>22</v>
      </c>
      <c r="BC97" s="179"/>
      <c r="BD97" s="179"/>
      <c r="BE97" s="179"/>
      <c r="BF97" s="179"/>
      <c r="BG97" s="179"/>
      <c r="BH97" s="179"/>
      <c r="BI97" s="179"/>
      <c r="BJ97" s="179"/>
      <c r="BK97" s="179"/>
      <c r="BL97" s="181"/>
      <c r="BM97" s="181"/>
    </row>
    <row r="98" spans="1:65">
      <c r="A98" s="173" t="s">
        <v>213</v>
      </c>
      <c r="B98" s="173">
        <v>7075</v>
      </c>
      <c r="C98" s="175">
        <v>92</v>
      </c>
      <c r="D98" s="177" t="s">
        <v>215</v>
      </c>
      <c r="E98" s="173" t="s">
        <v>211</v>
      </c>
      <c r="F98" s="173" t="s">
        <v>223</v>
      </c>
      <c r="G98" s="173" t="s">
        <v>210</v>
      </c>
      <c r="H98" s="173" t="s">
        <v>209</v>
      </c>
      <c r="I98" s="173" t="s">
        <v>214</v>
      </c>
      <c r="J98" s="172">
        <v>78</v>
      </c>
      <c r="K98" s="172">
        <v>64</v>
      </c>
      <c r="L98" s="172">
        <v>64</v>
      </c>
      <c r="M98" s="172">
        <v>70</v>
      </c>
      <c r="N98" s="172">
        <v>55</v>
      </c>
      <c r="O98" s="172">
        <v>55</v>
      </c>
      <c r="P98" s="172">
        <v>70</v>
      </c>
      <c r="Q98" s="172">
        <v>61</v>
      </c>
      <c r="R98" s="172">
        <v>61</v>
      </c>
      <c r="S98" s="172">
        <v>39</v>
      </c>
      <c r="T98" s="172">
        <v>102</v>
      </c>
      <c r="U98" s="172">
        <v>132</v>
      </c>
      <c r="V98" s="172">
        <v>83</v>
      </c>
      <c r="W98" s="172">
        <v>100</v>
      </c>
      <c r="X98" s="172">
        <v>6</v>
      </c>
      <c r="Y98" s="172">
        <v>10.4</v>
      </c>
      <c r="Z98" s="172">
        <v>10.4</v>
      </c>
      <c r="AA98" s="172">
        <v>10.7</v>
      </c>
      <c r="AB98" s="172">
        <v>10.7</v>
      </c>
      <c r="AC98" s="172">
        <v>4</v>
      </c>
      <c r="AD98" s="172">
        <v>0.33</v>
      </c>
      <c r="AE98" s="172">
        <v>0.10100000000000001</v>
      </c>
      <c r="AO98" s="171"/>
      <c r="AP98" s="171"/>
      <c r="AQ98" s="171"/>
      <c r="AR98" s="171"/>
      <c r="AS98" s="171"/>
      <c r="AT98" s="171"/>
      <c r="AU98" s="171" t="s">
        <v>183</v>
      </c>
      <c r="AV98" s="179">
        <v>26</v>
      </c>
      <c r="AW98" s="179">
        <v>27</v>
      </c>
      <c r="AX98" s="179"/>
      <c r="AY98" s="179">
        <v>50</v>
      </c>
      <c r="AZ98" s="179">
        <v>22</v>
      </c>
      <c r="BC98" s="179"/>
      <c r="BD98" s="179"/>
      <c r="BE98" s="179"/>
      <c r="BF98" s="179"/>
      <c r="BG98" s="179"/>
      <c r="BH98" s="179"/>
      <c r="BI98" s="179"/>
      <c r="BJ98" s="179"/>
      <c r="BK98" s="179"/>
      <c r="BL98" s="181"/>
      <c r="BM98" s="181"/>
    </row>
    <row r="99" spans="1:65">
      <c r="A99" s="173" t="s">
        <v>213</v>
      </c>
      <c r="B99" s="173">
        <v>7075</v>
      </c>
      <c r="C99" s="175">
        <v>93</v>
      </c>
      <c r="D99" s="177" t="s">
        <v>212</v>
      </c>
      <c r="E99" s="173" t="s">
        <v>211</v>
      </c>
      <c r="F99" s="173" t="s">
        <v>223</v>
      </c>
      <c r="G99" s="173" t="s">
        <v>210</v>
      </c>
      <c r="H99" s="173" t="s">
        <v>209</v>
      </c>
      <c r="I99" s="173" t="s">
        <v>208</v>
      </c>
      <c r="J99" s="172">
        <v>78</v>
      </c>
      <c r="K99" s="172">
        <v>63</v>
      </c>
      <c r="L99" s="172">
        <v>63</v>
      </c>
      <c r="M99" s="172">
        <v>68</v>
      </c>
      <c r="N99" s="172">
        <v>52</v>
      </c>
      <c r="O99" s="172">
        <v>52</v>
      </c>
      <c r="P99" s="172">
        <v>68</v>
      </c>
      <c r="Q99" s="172">
        <v>57</v>
      </c>
      <c r="R99" s="172">
        <v>57</v>
      </c>
      <c r="S99" s="172">
        <v>38</v>
      </c>
      <c r="T99" s="172">
        <v>101</v>
      </c>
      <c r="U99" s="172">
        <v>131</v>
      </c>
      <c r="V99" s="172">
        <v>79</v>
      </c>
      <c r="W99" s="172">
        <v>95</v>
      </c>
      <c r="X99" s="172">
        <v>6</v>
      </c>
      <c r="Y99" s="172">
        <v>10.4</v>
      </c>
      <c r="Z99" s="172">
        <v>10.4</v>
      </c>
      <c r="AA99" s="172">
        <v>10.7</v>
      </c>
      <c r="AB99" s="172">
        <v>10.7</v>
      </c>
      <c r="AC99" s="172">
        <v>4</v>
      </c>
      <c r="AD99" s="172">
        <v>0.33</v>
      </c>
      <c r="AE99" s="172">
        <v>0.10100000000000001</v>
      </c>
      <c r="AO99" s="171"/>
      <c r="AP99" s="171"/>
      <c r="AQ99" s="171"/>
      <c r="AR99" s="171"/>
      <c r="AS99" s="171"/>
      <c r="AT99" s="171"/>
      <c r="AU99" s="171" t="s">
        <v>183</v>
      </c>
      <c r="AV99" s="179">
        <v>26</v>
      </c>
      <c r="AW99" s="179">
        <v>27</v>
      </c>
      <c r="AX99" s="179"/>
      <c r="AY99" s="179">
        <v>50</v>
      </c>
      <c r="AZ99" s="179">
        <v>22</v>
      </c>
      <c r="BC99" s="179"/>
      <c r="BD99" s="179"/>
      <c r="BE99" s="179"/>
      <c r="BF99" s="179"/>
      <c r="BG99" s="179"/>
      <c r="BH99" s="179"/>
      <c r="BI99" s="179"/>
      <c r="BJ99" s="179"/>
      <c r="BK99" s="179"/>
      <c r="BL99" s="181"/>
      <c r="BM99" s="181"/>
    </row>
    <row r="100" spans="1:65">
      <c r="A100" s="173" t="s">
        <v>213</v>
      </c>
      <c r="B100" s="173">
        <v>7075</v>
      </c>
      <c r="C100" s="175">
        <v>94</v>
      </c>
      <c r="D100" s="177" t="s">
        <v>216</v>
      </c>
      <c r="E100" s="173" t="s">
        <v>211</v>
      </c>
      <c r="F100" s="173" t="s">
        <v>222</v>
      </c>
      <c r="G100" s="173" t="s">
        <v>210</v>
      </c>
      <c r="H100" s="173" t="s">
        <v>209</v>
      </c>
      <c r="I100" s="173" t="s">
        <v>221</v>
      </c>
      <c r="J100" s="172">
        <v>78</v>
      </c>
      <c r="K100" s="172">
        <v>75</v>
      </c>
      <c r="M100" s="172">
        <v>70</v>
      </c>
      <c r="N100" s="172">
        <v>66</v>
      </c>
      <c r="P100" s="172">
        <v>70</v>
      </c>
      <c r="Q100" s="172">
        <v>72</v>
      </c>
      <c r="S100" s="172">
        <v>41</v>
      </c>
      <c r="T100" s="172">
        <v>111</v>
      </c>
      <c r="U100" s="172">
        <v>140</v>
      </c>
      <c r="V100" s="172">
        <v>92</v>
      </c>
      <c r="W100" s="172">
        <v>108</v>
      </c>
      <c r="X100" s="172">
        <v>7</v>
      </c>
      <c r="Y100" s="172">
        <v>10.4</v>
      </c>
      <c r="Z100" s="172">
        <v>10.4</v>
      </c>
      <c r="AA100" s="172">
        <v>10.7</v>
      </c>
      <c r="AB100" s="172">
        <v>10.7</v>
      </c>
      <c r="AC100" s="172">
        <v>4</v>
      </c>
      <c r="AD100" s="172">
        <v>0.33</v>
      </c>
      <c r="AE100" s="172">
        <v>0.10100000000000001</v>
      </c>
      <c r="AO100" s="171"/>
      <c r="AP100" s="171"/>
      <c r="AQ100" s="171"/>
      <c r="AR100" s="171"/>
      <c r="AS100" s="171"/>
      <c r="AT100" s="171"/>
      <c r="AU100" s="171" t="s">
        <v>183</v>
      </c>
      <c r="AV100" s="179">
        <v>26</v>
      </c>
      <c r="AW100" s="179">
        <v>27</v>
      </c>
      <c r="AX100" s="179"/>
      <c r="AY100" s="179">
        <v>50</v>
      </c>
      <c r="AZ100" s="179">
        <v>22</v>
      </c>
      <c r="BC100" s="179"/>
      <c r="BD100" s="179"/>
      <c r="BE100" s="179"/>
      <c r="BF100" s="179"/>
      <c r="BG100" s="179"/>
      <c r="BH100" s="179"/>
      <c r="BI100" s="179"/>
      <c r="BJ100" s="179"/>
      <c r="BK100" s="179"/>
      <c r="BL100" s="181"/>
      <c r="BM100" s="181"/>
    </row>
    <row r="101" spans="1:65">
      <c r="A101" s="173" t="s">
        <v>213</v>
      </c>
      <c r="B101" s="173">
        <v>7075</v>
      </c>
      <c r="C101" s="175">
        <v>95</v>
      </c>
      <c r="D101" s="177" t="s">
        <v>216</v>
      </c>
      <c r="E101" s="173" t="s">
        <v>211</v>
      </c>
      <c r="F101" s="173" t="s">
        <v>222</v>
      </c>
      <c r="G101" s="173" t="s">
        <v>210</v>
      </c>
      <c r="H101" s="173" t="s">
        <v>209</v>
      </c>
      <c r="I101" s="173" t="s">
        <v>220</v>
      </c>
      <c r="J101" s="172">
        <v>81</v>
      </c>
      <c r="K101" s="172">
        <v>78</v>
      </c>
      <c r="M101" s="172">
        <v>73</v>
      </c>
      <c r="N101" s="172">
        <v>69</v>
      </c>
      <c r="P101" s="172">
        <v>73</v>
      </c>
      <c r="Q101" s="172">
        <v>74</v>
      </c>
      <c r="S101" s="172">
        <v>43</v>
      </c>
      <c r="T101" s="172">
        <v>115</v>
      </c>
      <c r="U101" s="172">
        <v>146</v>
      </c>
      <c r="V101" s="172">
        <v>96</v>
      </c>
      <c r="W101" s="172">
        <v>113</v>
      </c>
      <c r="X101" s="172">
        <v>7</v>
      </c>
      <c r="Y101" s="172">
        <v>10.4</v>
      </c>
      <c r="Z101" s="172">
        <v>10.4</v>
      </c>
      <c r="AA101" s="172">
        <v>10.7</v>
      </c>
      <c r="AB101" s="172">
        <v>10.7</v>
      </c>
      <c r="AC101" s="172">
        <v>4</v>
      </c>
      <c r="AD101" s="172">
        <v>0.33</v>
      </c>
      <c r="AE101" s="172">
        <v>0.10100000000000001</v>
      </c>
      <c r="AO101" s="171"/>
      <c r="AP101" s="171"/>
      <c r="AQ101" s="171"/>
      <c r="AR101" s="171"/>
      <c r="AS101" s="171"/>
      <c r="AT101" s="171"/>
      <c r="AU101" s="171" t="s">
        <v>183</v>
      </c>
      <c r="AV101" s="179">
        <v>26</v>
      </c>
      <c r="AW101" s="179">
        <v>27</v>
      </c>
      <c r="AX101" s="179"/>
      <c r="AY101" s="179">
        <v>50</v>
      </c>
      <c r="AZ101" s="179">
        <v>22</v>
      </c>
      <c r="BC101" s="179"/>
      <c r="BD101" s="179"/>
      <c r="BE101" s="179"/>
      <c r="BF101" s="179"/>
      <c r="BG101" s="179"/>
      <c r="BH101" s="179"/>
      <c r="BI101" s="179"/>
      <c r="BJ101" s="179"/>
      <c r="BK101" s="179"/>
      <c r="BL101" s="181"/>
      <c r="BM101" s="181"/>
    </row>
    <row r="102" spans="1:65">
      <c r="A102" s="173" t="s">
        <v>213</v>
      </c>
      <c r="B102" s="173">
        <v>7075</v>
      </c>
      <c r="C102" s="175">
        <v>96</v>
      </c>
      <c r="D102" s="177" t="s">
        <v>216</v>
      </c>
      <c r="E102" s="173" t="s">
        <v>211</v>
      </c>
      <c r="F102" s="173" t="s">
        <v>222</v>
      </c>
      <c r="G102" s="173" t="s">
        <v>210</v>
      </c>
      <c r="H102" s="173" t="s">
        <v>209</v>
      </c>
      <c r="I102" s="173" t="s">
        <v>219</v>
      </c>
      <c r="J102" s="172">
        <v>81</v>
      </c>
      <c r="K102" s="172">
        <v>77</v>
      </c>
      <c r="M102" s="172">
        <v>72</v>
      </c>
      <c r="N102" s="172">
        <v>67</v>
      </c>
      <c r="P102" s="172">
        <v>72</v>
      </c>
      <c r="Q102" s="172">
        <v>73</v>
      </c>
      <c r="S102" s="172">
        <v>43</v>
      </c>
      <c r="T102" s="172">
        <v>115</v>
      </c>
      <c r="U102" s="172">
        <v>145</v>
      </c>
      <c r="V102" s="172">
        <v>94</v>
      </c>
      <c r="W102" s="172">
        <v>111</v>
      </c>
      <c r="X102" s="172">
        <v>7</v>
      </c>
      <c r="Y102" s="172">
        <v>10.4</v>
      </c>
      <c r="Z102" s="172">
        <v>10.4</v>
      </c>
      <c r="AA102" s="172">
        <v>10.7</v>
      </c>
      <c r="AB102" s="172">
        <v>10.7</v>
      </c>
      <c r="AC102" s="172">
        <v>4</v>
      </c>
      <c r="AD102" s="172">
        <v>0.33</v>
      </c>
      <c r="AE102" s="172">
        <v>0.10100000000000001</v>
      </c>
      <c r="AO102" s="171"/>
      <c r="AP102" s="171"/>
      <c r="AQ102" s="171"/>
      <c r="AR102" s="171"/>
      <c r="AS102" s="171"/>
      <c r="AT102" s="171"/>
      <c r="AV102" s="179">
        <v>26</v>
      </c>
      <c r="AW102" s="179">
        <v>27</v>
      </c>
      <c r="AX102" s="179"/>
      <c r="AY102" s="179">
        <v>50</v>
      </c>
      <c r="AZ102" s="179">
        <v>22</v>
      </c>
      <c r="BC102" s="179"/>
      <c r="BD102" s="179"/>
      <c r="BE102" s="179"/>
      <c r="BF102" s="179"/>
      <c r="BG102" s="179"/>
      <c r="BH102" s="179"/>
      <c r="BI102" s="179"/>
      <c r="BJ102" s="179"/>
      <c r="BK102" s="179"/>
      <c r="BL102" s="181"/>
      <c r="BM102" s="181"/>
    </row>
    <row r="103" spans="1:65">
      <c r="A103" s="173" t="s">
        <v>213</v>
      </c>
      <c r="B103" s="173">
        <v>7075</v>
      </c>
      <c r="C103" s="175">
        <v>97</v>
      </c>
      <c r="D103" s="177" t="s">
        <v>216</v>
      </c>
      <c r="E103" s="173" t="s">
        <v>211</v>
      </c>
      <c r="F103" s="173" t="s">
        <v>222</v>
      </c>
      <c r="G103" s="173" t="s">
        <v>210</v>
      </c>
      <c r="H103" s="173" t="s">
        <v>209</v>
      </c>
      <c r="I103" s="173" t="s">
        <v>218</v>
      </c>
      <c r="J103" s="172">
        <v>81</v>
      </c>
      <c r="K103" s="172">
        <v>75</v>
      </c>
      <c r="M103" s="172">
        <v>72</v>
      </c>
      <c r="N103" s="172">
        <v>65</v>
      </c>
      <c r="P103" s="172">
        <v>72</v>
      </c>
      <c r="Q103" s="172">
        <v>71</v>
      </c>
      <c r="S103" s="172">
        <v>43</v>
      </c>
      <c r="T103" s="172">
        <v>113</v>
      </c>
      <c r="U103" s="172">
        <v>144</v>
      </c>
      <c r="V103" s="172">
        <v>93</v>
      </c>
      <c r="W103" s="172">
        <v>110</v>
      </c>
      <c r="X103" s="172">
        <v>7</v>
      </c>
      <c r="Y103" s="172">
        <v>10.4</v>
      </c>
      <c r="Z103" s="172">
        <v>10.4</v>
      </c>
      <c r="AA103" s="172">
        <v>10.7</v>
      </c>
      <c r="AB103" s="172">
        <v>10.7</v>
      </c>
      <c r="AC103" s="172">
        <v>4</v>
      </c>
      <c r="AD103" s="172">
        <v>0.33</v>
      </c>
      <c r="AE103" s="172">
        <v>0.10100000000000001</v>
      </c>
      <c r="AO103" s="171"/>
      <c r="AP103" s="171"/>
      <c r="AQ103" s="171"/>
      <c r="AR103" s="171"/>
      <c r="AS103" s="171"/>
      <c r="AT103" s="171"/>
      <c r="AU103" s="171" t="s">
        <v>183</v>
      </c>
      <c r="AV103" s="179">
        <v>26</v>
      </c>
      <c r="AW103" s="179">
        <v>27</v>
      </c>
      <c r="AX103" s="179"/>
      <c r="AY103" s="179">
        <v>50</v>
      </c>
      <c r="AZ103" s="179">
        <v>22</v>
      </c>
      <c r="BC103" s="179"/>
      <c r="BD103" s="179"/>
      <c r="BE103" s="179"/>
      <c r="BF103" s="179"/>
      <c r="BG103" s="179"/>
      <c r="BH103" s="179"/>
      <c r="BI103" s="179"/>
      <c r="BJ103" s="179"/>
      <c r="BK103" s="179"/>
      <c r="BL103" s="181"/>
      <c r="BM103" s="181"/>
    </row>
    <row r="104" spans="1:65">
      <c r="A104" s="173" t="s">
        <v>213</v>
      </c>
      <c r="B104" s="173">
        <v>7075</v>
      </c>
      <c r="C104" s="175">
        <v>98</v>
      </c>
      <c r="D104" s="177" t="s">
        <v>216</v>
      </c>
      <c r="E104" s="173" t="s">
        <v>211</v>
      </c>
      <c r="F104" s="173" t="s">
        <v>222</v>
      </c>
      <c r="G104" s="173" t="s">
        <v>210</v>
      </c>
      <c r="H104" s="173" t="s">
        <v>209</v>
      </c>
      <c r="I104" s="173" t="s">
        <v>217</v>
      </c>
      <c r="J104" s="172">
        <v>81</v>
      </c>
      <c r="K104" s="172">
        <v>71</v>
      </c>
      <c r="L104" s="172">
        <v>67</v>
      </c>
      <c r="M104" s="172">
        <v>72</v>
      </c>
      <c r="N104" s="172">
        <v>61</v>
      </c>
      <c r="O104" s="172">
        <v>56</v>
      </c>
      <c r="P104" s="172">
        <v>72</v>
      </c>
      <c r="Q104" s="172">
        <v>67</v>
      </c>
      <c r="R104" s="172">
        <v>62</v>
      </c>
      <c r="S104" s="172">
        <v>42</v>
      </c>
      <c r="T104" s="172">
        <v>110</v>
      </c>
      <c r="U104" s="172">
        <v>141</v>
      </c>
      <c r="V104" s="172">
        <v>89</v>
      </c>
      <c r="W104" s="172">
        <v>106</v>
      </c>
      <c r="X104" s="172">
        <v>7</v>
      </c>
      <c r="Y104" s="172">
        <v>10.4</v>
      </c>
      <c r="Z104" s="172">
        <v>10.4</v>
      </c>
      <c r="AA104" s="172">
        <v>10.7</v>
      </c>
      <c r="AB104" s="172">
        <v>10.7</v>
      </c>
      <c r="AC104" s="172">
        <v>4</v>
      </c>
      <c r="AD104" s="172">
        <v>0.33</v>
      </c>
      <c r="AE104" s="172">
        <v>0.10100000000000001</v>
      </c>
      <c r="AO104" s="171"/>
      <c r="AP104" s="171"/>
      <c r="AQ104" s="171"/>
      <c r="AR104" s="171"/>
      <c r="AS104" s="171"/>
      <c r="AT104" s="171"/>
      <c r="AU104" s="171" t="s">
        <v>183</v>
      </c>
      <c r="AV104" s="179">
        <v>26</v>
      </c>
      <c r="AW104" s="179">
        <v>27</v>
      </c>
      <c r="AX104" s="179"/>
      <c r="AY104" s="179">
        <v>50</v>
      </c>
      <c r="AZ104" s="179">
        <v>22</v>
      </c>
      <c r="BC104" s="179"/>
      <c r="BD104" s="179"/>
      <c r="BE104" s="179"/>
      <c r="BF104" s="179"/>
      <c r="BG104" s="179"/>
      <c r="BH104" s="179"/>
      <c r="BI104" s="179"/>
      <c r="BJ104" s="179"/>
      <c r="BK104" s="179"/>
      <c r="BL104" s="181"/>
      <c r="BM104" s="181"/>
    </row>
    <row r="105" spans="1:65">
      <c r="A105" s="173" t="s">
        <v>213</v>
      </c>
      <c r="B105" s="173">
        <v>7075</v>
      </c>
      <c r="C105" s="175">
        <v>99</v>
      </c>
      <c r="D105" s="177" t="s">
        <v>216</v>
      </c>
      <c r="E105" s="173" t="s">
        <v>211</v>
      </c>
      <c r="F105" s="173" t="s">
        <v>222</v>
      </c>
      <c r="G105" s="173" t="s">
        <v>210</v>
      </c>
      <c r="H105" s="173" t="s">
        <v>209</v>
      </c>
      <c r="I105" s="173" t="s">
        <v>214</v>
      </c>
      <c r="J105" s="172">
        <v>81</v>
      </c>
      <c r="K105" s="172">
        <v>67</v>
      </c>
      <c r="L105" s="172">
        <v>67</v>
      </c>
      <c r="M105" s="172">
        <v>71</v>
      </c>
      <c r="N105" s="172">
        <v>56</v>
      </c>
      <c r="O105" s="172">
        <v>55</v>
      </c>
      <c r="P105" s="172">
        <v>71</v>
      </c>
      <c r="Q105" s="172">
        <v>62</v>
      </c>
      <c r="R105" s="172">
        <v>62</v>
      </c>
      <c r="S105" s="172">
        <v>40</v>
      </c>
      <c r="T105" s="172">
        <v>106</v>
      </c>
      <c r="U105" s="172">
        <v>137</v>
      </c>
      <c r="V105" s="172">
        <v>84</v>
      </c>
      <c r="W105" s="172">
        <v>101</v>
      </c>
      <c r="X105" s="172">
        <v>7</v>
      </c>
      <c r="Y105" s="172">
        <v>10.4</v>
      </c>
      <c r="Z105" s="172">
        <v>10.4</v>
      </c>
      <c r="AA105" s="172">
        <v>10.7</v>
      </c>
      <c r="AB105" s="172">
        <v>10.7</v>
      </c>
      <c r="AC105" s="172">
        <v>4</v>
      </c>
      <c r="AD105" s="172">
        <v>0.33</v>
      </c>
      <c r="AE105" s="172">
        <v>0.10100000000000001</v>
      </c>
      <c r="AO105" s="171"/>
      <c r="AP105" s="171"/>
      <c r="AQ105" s="171"/>
      <c r="AR105" s="171"/>
      <c r="AS105" s="171"/>
      <c r="AT105" s="171"/>
      <c r="AU105" s="171" t="s">
        <v>183</v>
      </c>
      <c r="AV105" s="179">
        <v>26</v>
      </c>
      <c r="AW105" s="179">
        <v>27</v>
      </c>
      <c r="AX105" s="179"/>
      <c r="AY105" s="179">
        <v>50</v>
      </c>
      <c r="AZ105" s="179">
        <v>22</v>
      </c>
      <c r="BC105" s="179"/>
      <c r="BD105" s="179"/>
      <c r="BE105" s="179"/>
      <c r="BF105" s="179"/>
      <c r="BG105" s="179"/>
      <c r="BH105" s="179"/>
      <c r="BI105" s="179"/>
      <c r="BJ105" s="179"/>
      <c r="BK105" s="179"/>
      <c r="BL105" s="181"/>
      <c r="BM105" s="181"/>
    </row>
    <row r="106" spans="1:65">
      <c r="A106" s="173" t="s">
        <v>213</v>
      </c>
      <c r="B106" s="173">
        <v>7075</v>
      </c>
      <c r="C106" s="175">
        <v>100</v>
      </c>
      <c r="D106" s="177" t="s">
        <v>215</v>
      </c>
      <c r="E106" s="173" t="s">
        <v>211</v>
      </c>
      <c r="F106" s="173" t="s">
        <v>222</v>
      </c>
      <c r="G106" s="173" t="s">
        <v>210</v>
      </c>
      <c r="H106" s="173" t="s">
        <v>209</v>
      </c>
      <c r="I106" s="173" t="s">
        <v>214</v>
      </c>
      <c r="J106" s="172">
        <v>78</v>
      </c>
      <c r="K106" s="172">
        <v>64</v>
      </c>
      <c r="L106" s="172">
        <v>64</v>
      </c>
      <c r="M106" s="172">
        <v>70</v>
      </c>
      <c r="N106" s="172">
        <v>55</v>
      </c>
      <c r="O106" s="172">
        <v>55</v>
      </c>
      <c r="P106" s="172">
        <v>70</v>
      </c>
      <c r="Q106" s="172">
        <v>61</v>
      </c>
      <c r="R106" s="172">
        <v>61</v>
      </c>
      <c r="S106" s="172">
        <v>39</v>
      </c>
      <c r="T106" s="172">
        <v>102</v>
      </c>
      <c r="U106" s="172">
        <v>132</v>
      </c>
      <c r="V106" s="172">
        <v>83</v>
      </c>
      <c r="W106" s="172">
        <v>100</v>
      </c>
      <c r="X106" s="172">
        <v>6</v>
      </c>
      <c r="Y106" s="172">
        <v>10.4</v>
      </c>
      <c r="Z106" s="172">
        <v>10.4</v>
      </c>
      <c r="AA106" s="172">
        <v>10.7</v>
      </c>
      <c r="AB106" s="172">
        <v>10.7</v>
      </c>
      <c r="AC106" s="172">
        <v>4</v>
      </c>
      <c r="AD106" s="172">
        <v>0.33</v>
      </c>
      <c r="AE106" s="172">
        <v>0.10100000000000001</v>
      </c>
      <c r="AO106" s="171"/>
      <c r="AP106" s="171"/>
      <c r="AQ106" s="171"/>
      <c r="AR106" s="171"/>
      <c r="AS106" s="171"/>
      <c r="AT106" s="171"/>
      <c r="AU106" s="171" t="s">
        <v>183</v>
      </c>
      <c r="AV106" s="179">
        <v>26</v>
      </c>
      <c r="AW106" s="179">
        <v>27</v>
      </c>
      <c r="AX106" s="179"/>
      <c r="AY106" s="179">
        <v>50</v>
      </c>
      <c r="AZ106" s="179">
        <v>22</v>
      </c>
      <c r="BC106" s="179"/>
      <c r="BD106" s="179"/>
      <c r="BE106" s="179"/>
      <c r="BF106" s="179"/>
      <c r="BG106" s="179"/>
      <c r="BH106" s="179"/>
      <c r="BI106" s="179"/>
      <c r="BJ106" s="179"/>
      <c r="BK106" s="179"/>
      <c r="BL106" s="181"/>
      <c r="BM106" s="181"/>
    </row>
    <row r="107" spans="1:65">
      <c r="A107" s="173" t="s">
        <v>213</v>
      </c>
      <c r="B107" s="173">
        <v>7075</v>
      </c>
      <c r="C107" s="175">
        <v>101</v>
      </c>
      <c r="D107" s="177" t="s">
        <v>212</v>
      </c>
      <c r="E107" s="173" t="s">
        <v>211</v>
      </c>
      <c r="F107" s="173" t="s">
        <v>222</v>
      </c>
      <c r="G107" s="173" t="s">
        <v>210</v>
      </c>
      <c r="H107" s="173" t="s">
        <v>209</v>
      </c>
      <c r="I107" s="173" t="s">
        <v>208</v>
      </c>
      <c r="J107" s="172">
        <v>78</v>
      </c>
      <c r="K107" s="172">
        <v>63</v>
      </c>
      <c r="L107" s="172">
        <v>63</v>
      </c>
      <c r="M107" s="172">
        <v>68</v>
      </c>
      <c r="N107" s="172">
        <v>52</v>
      </c>
      <c r="O107" s="172">
        <v>52</v>
      </c>
      <c r="P107" s="172">
        <v>68</v>
      </c>
      <c r="Q107" s="172">
        <v>57</v>
      </c>
      <c r="R107" s="172">
        <v>57</v>
      </c>
      <c r="S107" s="172">
        <v>38</v>
      </c>
      <c r="T107" s="172">
        <v>101</v>
      </c>
      <c r="U107" s="172">
        <v>131</v>
      </c>
      <c r="V107" s="172">
        <v>79</v>
      </c>
      <c r="W107" s="172">
        <v>95</v>
      </c>
      <c r="X107" s="172">
        <v>6</v>
      </c>
      <c r="Y107" s="172">
        <v>10.4</v>
      </c>
      <c r="Z107" s="172">
        <v>10.4</v>
      </c>
      <c r="AA107" s="172">
        <v>10.7</v>
      </c>
      <c r="AB107" s="172">
        <v>10.7</v>
      </c>
      <c r="AC107" s="172">
        <v>4</v>
      </c>
      <c r="AD107" s="172">
        <v>0.33</v>
      </c>
      <c r="AE107" s="172">
        <v>0.10100000000000001</v>
      </c>
      <c r="AO107" s="171"/>
      <c r="AP107" s="171"/>
      <c r="AQ107" s="171"/>
      <c r="AR107" s="171"/>
      <c r="AS107" s="171"/>
      <c r="AT107" s="171"/>
      <c r="AU107" s="171" t="s">
        <v>183</v>
      </c>
      <c r="AV107" s="179">
        <v>26</v>
      </c>
      <c r="AW107" s="179">
        <v>27</v>
      </c>
      <c r="AX107" s="179"/>
      <c r="AY107" s="179">
        <v>50</v>
      </c>
      <c r="AZ107" s="179">
        <v>22</v>
      </c>
      <c r="BC107" s="179"/>
      <c r="BD107" s="179"/>
      <c r="BE107" s="179"/>
      <c r="BF107" s="179"/>
      <c r="BG107" s="179"/>
      <c r="BH107" s="179"/>
      <c r="BI107" s="179"/>
      <c r="BJ107" s="179"/>
      <c r="BK107" s="179"/>
      <c r="BL107" s="181"/>
      <c r="BM107" s="181"/>
    </row>
    <row r="108" spans="1:65">
      <c r="A108" s="173" t="s">
        <v>213</v>
      </c>
      <c r="B108" s="173">
        <v>7075</v>
      </c>
      <c r="C108" s="175">
        <v>102</v>
      </c>
      <c r="D108" s="177" t="s">
        <v>216</v>
      </c>
      <c r="E108" s="173" t="s">
        <v>211</v>
      </c>
      <c r="F108" s="173" t="s">
        <v>175</v>
      </c>
      <c r="G108" s="173" t="s">
        <v>210</v>
      </c>
      <c r="H108" s="173" t="s">
        <v>209</v>
      </c>
      <c r="I108" s="173" t="s">
        <v>221</v>
      </c>
      <c r="J108" s="172">
        <v>78</v>
      </c>
      <c r="K108" s="172">
        <v>75</v>
      </c>
      <c r="M108" s="172">
        <v>70</v>
      </c>
      <c r="N108" s="172">
        <v>66</v>
      </c>
      <c r="P108" s="172">
        <v>70</v>
      </c>
      <c r="Q108" s="172">
        <v>72</v>
      </c>
      <c r="S108" s="172">
        <v>41</v>
      </c>
      <c r="T108" s="172">
        <v>111</v>
      </c>
      <c r="U108" s="172">
        <v>140</v>
      </c>
      <c r="V108" s="172">
        <v>92</v>
      </c>
      <c r="W108" s="172">
        <v>108</v>
      </c>
      <c r="X108" s="172">
        <v>7</v>
      </c>
      <c r="Y108" s="172">
        <v>10.4</v>
      </c>
      <c r="Z108" s="172">
        <v>10.4</v>
      </c>
      <c r="AA108" s="172">
        <v>10.7</v>
      </c>
      <c r="AB108" s="172">
        <v>10.7</v>
      </c>
      <c r="AC108" s="172">
        <v>4</v>
      </c>
      <c r="AD108" s="172">
        <v>0.33</v>
      </c>
      <c r="AE108" s="172">
        <v>0.10100000000000001</v>
      </c>
      <c r="AO108" s="171"/>
      <c r="AP108" s="171"/>
      <c r="AQ108" s="171"/>
      <c r="AR108" s="171"/>
      <c r="AS108" s="171"/>
      <c r="AT108" s="171"/>
      <c r="AU108" s="171" t="s">
        <v>183</v>
      </c>
      <c r="AV108" s="179">
        <v>27</v>
      </c>
      <c r="AW108" s="179">
        <v>23</v>
      </c>
      <c r="AX108" s="179"/>
      <c r="AY108" s="179">
        <v>33</v>
      </c>
      <c r="AZ108" s="179">
        <v>22</v>
      </c>
      <c r="BC108" s="179"/>
      <c r="BD108" s="179"/>
      <c r="BE108" s="179"/>
      <c r="BF108" s="179"/>
      <c r="BG108" s="179"/>
      <c r="BH108" s="179"/>
      <c r="BI108" s="179"/>
      <c r="BJ108" s="179"/>
      <c r="BK108" s="179"/>
      <c r="BL108" s="181"/>
      <c r="BM108" s="181"/>
    </row>
    <row r="109" spans="1:65">
      <c r="A109" s="173" t="s">
        <v>213</v>
      </c>
      <c r="B109" s="173">
        <v>7075</v>
      </c>
      <c r="C109" s="175">
        <v>103</v>
      </c>
      <c r="D109" s="177" t="s">
        <v>216</v>
      </c>
      <c r="E109" s="173" t="s">
        <v>211</v>
      </c>
      <c r="F109" s="173" t="s">
        <v>175</v>
      </c>
      <c r="G109" s="173" t="s">
        <v>210</v>
      </c>
      <c r="H109" s="173" t="s">
        <v>209</v>
      </c>
      <c r="I109" s="173" t="s">
        <v>220</v>
      </c>
      <c r="J109" s="172">
        <v>81</v>
      </c>
      <c r="K109" s="172">
        <v>78</v>
      </c>
      <c r="M109" s="172">
        <v>73</v>
      </c>
      <c r="N109" s="172">
        <v>69</v>
      </c>
      <c r="P109" s="172">
        <v>73</v>
      </c>
      <c r="Q109" s="172">
        <v>74</v>
      </c>
      <c r="S109" s="172">
        <v>43</v>
      </c>
      <c r="T109" s="172">
        <v>115</v>
      </c>
      <c r="U109" s="172">
        <v>146</v>
      </c>
      <c r="V109" s="172">
        <v>96</v>
      </c>
      <c r="W109" s="172">
        <v>113</v>
      </c>
      <c r="X109" s="172">
        <v>7</v>
      </c>
      <c r="Y109" s="172">
        <v>10.4</v>
      </c>
      <c r="Z109" s="172">
        <v>10.4</v>
      </c>
      <c r="AA109" s="172">
        <v>10.7</v>
      </c>
      <c r="AB109" s="172">
        <v>10.7</v>
      </c>
      <c r="AC109" s="172">
        <v>4</v>
      </c>
      <c r="AD109" s="172">
        <v>0.33</v>
      </c>
      <c r="AE109" s="172">
        <v>0.10100000000000001</v>
      </c>
      <c r="AO109" s="171"/>
      <c r="AP109" s="171"/>
      <c r="AQ109" s="171"/>
      <c r="AR109" s="171"/>
      <c r="AS109" s="171"/>
      <c r="AT109" s="171"/>
      <c r="AV109" s="179">
        <v>27</v>
      </c>
      <c r="AW109" s="179">
        <v>23</v>
      </c>
      <c r="AX109" s="179"/>
      <c r="AY109" s="179">
        <v>33</v>
      </c>
      <c r="AZ109" s="179">
        <v>22</v>
      </c>
      <c r="BC109" s="179"/>
      <c r="BD109" s="179"/>
      <c r="BE109" s="179"/>
      <c r="BF109" s="179"/>
      <c r="BG109" s="179"/>
      <c r="BH109" s="179"/>
      <c r="BI109" s="179"/>
      <c r="BJ109" s="179"/>
      <c r="BK109" s="179"/>
      <c r="BL109" s="181"/>
      <c r="BM109" s="181"/>
    </row>
    <row r="110" spans="1:65">
      <c r="A110" s="173" t="s">
        <v>213</v>
      </c>
      <c r="B110" s="173">
        <v>7075</v>
      </c>
      <c r="C110" s="175">
        <v>104</v>
      </c>
      <c r="D110" s="177" t="s">
        <v>216</v>
      </c>
      <c r="E110" s="173" t="s">
        <v>211</v>
      </c>
      <c r="F110" s="173" t="s">
        <v>175</v>
      </c>
      <c r="G110" s="173" t="s">
        <v>210</v>
      </c>
      <c r="H110" s="173" t="s">
        <v>209</v>
      </c>
      <c r="I110" s="173" t="s">
        <v>219</v>
      </c>
      <c r="J110" s="172">
        <v>81</v>
      </c>
      <c r="K110" s="172">
        <v>77</v>
      </c>
      <c r="M110" s="172">
        <v>72</v>
      </c>
      <c r="N110" s="172">
        <v>67</v>
      </c>
      <c r="P110" s="172">
        <v>72</v>
      </c>
      <c r="Q110" s="172">
        <v>73</v>
      </c>
      <c r="S110" s="172">
        <v>43</v>
      </c>
      <c r="T110" s="172">
        <v>115</v>
      </c>
      <c r="U110" s="172">
        <v>145</v>
      </c>
      <c r="V110" s="172">
        <v>94</v>
      </c>
      <c r="W110" s="172">
        <v>111</v>
      </c>
      <c r="X110" s="172">
        <v>7</v>
      </c>
      <c r="Y110" s="172">
        <v>10.4</v>
      </c>
      <c r="Z110" s="172">
        <v>10.4</v>
      </c>
      <c r="AA110" s="172">
        <v>10.7</v>
      </c>
      <c r="AB110" s="172">
        <v>10.7</v>
      </c>
      <c r="AC110" s="172">
        <v>4</v>
      </c>
      <c r="AD110" s="172">
        <v>0.33</v>
      </c>
      <c r="AE110" s="172">
        <v>0.10100000000000001</v>
      </c>
      <c r="AO110" s="171"/>
      <c r="AP110" s="171"/>
      <c r="AQ110" s="171"/>
      <c r="AR110" s="171"/>
      <c r="AS110" s="171"/>
      <c r="AT110" s="171"/>
      <c r="AV110" s="179">
        <v>27</v>
      </c>
      <c r="AW110" s="179">
        <v>23</v>
      </c>
      <c r="AX110" s="179"/>
      <c r="AY110" s="179">
        <v>33</v>
      </c>
      <c r="AZ110" s="179">
        <v>22</v>
      </c>
      <c r="BC110" s="179"/>
      <c r="BD110" s="179"/>
      <c r="BE110" s="179"/>
      <c r="BF110" s="179"/>
      <c r="BG110" s="179"/>
      <c r="BH110" s="179"/>
      <c r="BI110" s="179"/>
      <c r="BJ110" s="179"/>
      <c r="BK110" s="179"/>
      <c r="BL110" s="181"/>
      <c r="BM110" s="181"/>
    </row>
    <row r="111" spans="1:65">
      <c r="A111" s="173" t="s">
        <v>213</v>
      </c>
      <c r="B111" s="173">
        <v>7075</v>
      </c>
      <c r="C111" s="175">
        <v>105</v>
      </c>
      <c r="D111" s="177" t="s">
        <v>216</v>
      </c>
      <c r="E111" s="173" t="s">
        <v>211</v>
      </c>
      <c r="F111" s="173" t="s">
        <v>175</v>
      </c>
      <c r="G111" s="173" t="s">
        <v>210</v>
      </c>
      <c r="H111" s="173" t="s">
        <v>209</v>
      </c>
      <c r="I111" s="173" t="s">
        <v>218</v>
      </c>
      <c r="J111" s="172">
        <v>81</v>
      </c>
      <c r="K111" s="172">
        <v>75</v>
      </c>
      <c r="M111" s="172">
        <v>72</v>
      </c>
      <c r="N111" s="172">
        <v>65</v>
      </c>
      <c r="P111" s="172">
        <v>72</v>
      </c>
      <c r="Q111" s="172">
        <v>71</v>
      </c>
      <c r="S111" s="172">
        <v>43</v>
      </c>
      <c r="T111" s="172">
        <v>113</v>
      </c>
      <c r="U111" s="172">
        <v>144</v>
      </c>
      <c r="V111" s="172">
        <v>93</v>
      </c>
      <c r="W111" s="172">
        <v>110</v>
      </c>
      <c r="X111" s="172">
        <v>7</v>
      </c>
      <c r="Y111" s="172">
        <v>10.4</v>
      </c>
      <c r="Z111" s="172">
        <v>10.4</v>
      </c>
      <c r="AA111" s="172">
        <v>10.7</v>
      </c>
      <c r="AB111" s="172">
        <v>10.7</v>
      </c>
      <c r="AC111" s="172">
        <v>4</v>
      </c>
      <c r="AD111" s="172">
        <v>0.33</v>
      </c>
      <c r="AE111" s="172">
        <v>0.10100000000000001</v>
      </c>
      <c r="AO111" s="171"/>
      <c r="AP111" s="171"/>
      <c r="AQ111" s="171"/>
      <c r="AR111" s="171"/>
      <c r="AS111" s="171"/>
      <c r="AT111" s="171"/>
      <c r="AV111" s="179">
        <v>27</v>
      </c>
      <c r="AW111" s="179">
        <v>23</v>
      </c>
      <c r="AX111" s="179"/>
      <c r="AY111" s="179">
        <v>33</v>
      </c>
      <c r="AZ111" s="179">
        <v>22</v>
      </c>
      <c r="BC111" s="179"/>
      <c r="BD111" s="179"/>
      <c r="BE111" s="179"/>
      <c r="BF111" s="179"/>
      <c r="BG111" s="179"/>
      <c r="BH111" s="179"/>
      <c r="BI111" s="179"/>
      <c r="BJ111" s="179"/>
      <c r="BK111" s="179"/>
      <c r="BL111" s="181"/>
      <c r="BM111" s="181"/>
    </row>
    <row r="112" spans="1:65">
      <c r="A112" s="173" t="s">
        <v>213</v>
      </c>
      <c r="B112" s="173">
        <v>7075</v>
      </c>
      <c r="C112" s="175">
        <v>106</v>
      </c>
      <c r="D112" s="177" t="s">
        <v>216</v>
      </c>
      <c r="E112" s="173" t="s">
        <v>211</v>
      </c>
      <c r="F112" s="173" t="s">
        <v>175</v>
      </c>
      <c r="G112" s="173" t="s">
        <v>210</v>
      </c>
      <c r="H112" s="173" t="s">
        <v>209</v>
      </c>
      <c r="I112" s="173" t="s">
        <v>217</v>
      </c>
      <c r="J112" s="172">
        <v>81</v>
      </c>
      <c r="K112" s="172">
        <v>71</v>
      </c>
      <c r="L112" s="172">
        <v>67</v>
      </c>
      <c r="M112" s="172">
        <v>72</v>
      </c>
      <c r="N112" s="172">
        <v>61</v>
      </c>
      <c r="O112" s="172">
        <v>56</v>
      </c>
      <c r="P112" s="172">
        <v>72</v>
      </c>
      <c r="Q112" s="172">
        <v>67</v>
      </c>
      <c r="R112" s="172">
        <v>62</v>
      </c>
      <c r="S112" s="172">
        <v>42</v>
      </c>
      <c r="T112" s="172">
        <v>110</v>
      </c>
      <c r="U112" s="172">
        <v>141</v>
      </c>
      <c r="V112" s="172">
        <v>89</v>
      </c>
      <c r="W112" s="172">
        <v>106</v>
      </c>
      <c r="X112" s="172">
        <v>7</v>
      </c>
      <c r="Y112" s="172">
        <v>10.4</v>
      </c>
      <c r="Z112" s="172">
        <v>10.4</v>
      </c>
      <c r="AA112" s="172">
        <v>10.7</v>
      </c>
      <c r="AB112" s="172">
        <v>10.7</v>
      </c>
      <c r="AC112" s="172">
        <v>4</v>
      </c>
      <c r="AD112" s="172">
        <v>0.33</v>
      </c>
      <c r="AE112" s="172">
        <v>0.10100000000000001</v>
      </c>
      <c r="AO112" s="171"/>
      <c r="AP112" s="171"/>
      <c r="AQ112" s="171"/>
      <c r="AR112" s="171"/>
      <c r="AS112" s="171"/>
      <c r="AT112" s="171"/>
      <c r="AU112" s="171" t="s">
        <v>183</v>
      </c>
      <c r="AV112" s="179">
        <v>27</v>
      </c>
      <c r="AW112" s="179">
        <v>23</v>
      </c>
      <c r="AX112" s="179"/>
      <c r="AY112" s="179">
        <v>33</v>
      </c>
      <c r="AZ112" s="179">
        <v>22</v>
      </c>
      <c r="BC112" s="179"/>
      <c r="BD112" s="179"/>
      <c r="BE112" s="179"/>
      <c r="BF112" s="179"/>
      <c r="BG112" s="179"/>
      <c r="BH112" s="179"/>
      <c r="BI112" s="179"/>
      <c r="BJ112" s="179"/>
      <c r="BK112" s="179"/>
      <c r="BL112" s="181"/>
      <c r="BM112" s="181"/>
    </row>
    <row r="113" spans="1:65">
      <c r="A113" s="173" t="s">
        <v>213</v>
      </c>
      <c r="B113" s="173">
        <v>7075</v>
      </c>
      <c r="C113" s="175">
        <v>107</v>
      </c>
      <c r="D113" s="177" t="s">
        <v>216</v>
      </c>
      <c r="E113" s="173" t="s">
        <v>211</v>
      </c>
      <c r="F113" s="173" t="s">
        <v>175</v>
      </c>
      <c r="G113" s="173" t="s">
        <v>210</v>
      </c>
      <c r="H113" s="173" t="s">
        <v>209</v>
      </c>
      <c r="I113" s="173" t="s">
        <v>214</v>
      </c>
      <c r="J113" s="172">
        <v>81</v>
      </c>
      <c r="K113" s="172">
        <v>67</v>
      </c>
      <c r="L113" s="172">
        <v>67</v>
      </c>
      <c r="M113" s="172">
        <v>71</v>
      </c>
      <c r="N113" s="172">
        <v>56</v>
      </c>
      <c r="O113" s="172">
        <v>55</v>
      </c>
      <c r="P113" s="172">
        <v>71</v>
      </c>
      <c r="Q113" s="172">
        <v>62</v>
      </c>
      <c r="R113" s="172">
        <v>62</v>
      </c>
      <c r="S113" s="172">
        <v>40</v>
      </c>
      <c r="T113" s="172">
        <v>106</v>
      </c>
      <c r="U113" s="172">
        <v>137</v>
      </c>
      <c r="V113" s="172">
        <v>84</v>
      </c>
      <c r="W113" s="172">
        <v>101</v>
      </c>
      <c r="X113" s="172">
        <v>7</v>
      </c>
      <c r="Y113" s="172">
        <v>10.4</v>
      </c>
      <c r="Z113" s="172">
        <v>10.4</v>
      </c>
      <c r="AA113" s="172">
        <v>10.7</v>
      </c>
      <c r="AB113" s="172">
        <v>10.7</v>
      </c>
      <c r="AC113" s="172">
        <v>4</v>
      </c>
      <c r="AD113" s="172">
        <v>0.33</v>
      </c>
      <c r="AE113" s="172">
        <v>0.10100000000000001</v>
      </c>
      <c r="AO113" s="171"/>
      <c r="AP113" s="171"/>
      <c r="AQ113" s="171"/>
      <c r="AR113" s="171"/>
      <c r="AS113" s="171"/>
      <c r="AT113" s="171"/>
      <c r="AU113" s="171" t="s">
        <v>183</v>
      </c>
      <c r="AV113" s="179">
        <v>27</v>
      </c>
      <c r="AW113" s="179">
        <v>23</v>
      </c>
      <c r="AX113" s="179"/>
      <c r="AY113" s="179">
        <v>33</v>
      </c>
      <c r="AZ113" s="179">
        <v>22</v>
      </c>
      <c r="BC113" s="179"/>
      <c r="BD113" s="179"/>
      <c r="BE113" s="179"/>
      <c r="BF113" s="179"/>
      <c r="BG113" s="179"/>
      <c r="BH113" s="179"/>
      <c r="BI113" s="179"/>
      <c r="BJ113" s="179"/>
      <c r="BK113" s="179"/>
      <c r="BL113" s="181"/>
      <c r="BM113" s="181"/>
    </row>
    <row r="114" spans="1:65">
      <c r="A114" s="173" t="s">
        <v>213</v>
      </c>
      <c r="B114" s="173">
        <v>7075</v>
      </c>
      <c r="C114" s="175">
        <v>108</v>
      </c>
      <c r="D114" s="177" t="s">
        <v>215</v>
      </c>
      <c r="E114" s="173" t="s">
        <v>211</v>
      </c>
      <c r="F114" s="173" t="s">
        <v>175</v>
      </c>
      <c r="G114" s="173" t="s">
        <v>210</v>
      </c>
      <c r="H114" s="173" t="s">
        <v>209</v>
      </c>
      <c r="I114" s="173" t="s">
        <v>214</v>
      </c>
      <c r="J114" s="172">
        <v>78</v>
      </c>
      <c r="K114" s="172">
        <v>64</v>
      </c>
      <c r="L114" s="172">
        <v>64</v>
      </c>
      <c r="M114" s="172">
        <v>70</v>
      </c>
      <c r="N114" s="172">
        <v>55</v>
      </c>
      <c r="O114" s="172">
        <v>55</v>
      </c>
      <c r="P114" s="172">
        <v>70</v>
      </c>
      <c r="Q114" s="172">
        <v>61</v>
      </c>
      <c r="R114" s="172">
        <v>61</v>
      </c>
      <c r="S114" s="172">
        <v>39</v>
      </c>
      <c r="T114" s="172">
        <v>102</v>
      </c>
      <c r="U114" s="172">
        <v>132</v>
      </c>
      <c r="V114" s="172">
        <v>83</v>
      </c>
      <c r="W114" s="172">
        <v>100</v>
      </c>
      <c r="X114" s="172">
        <v>6</v>
      </c>
      <c r="Y114" s="172">
        <v>10.4</v>
      </c>
      <c r="Z114" s="172">
        <v>10.4</v>
      </c>
      <c r="AA114" s="172">
        <v>10.7</v>
      </c>
      <c r="AB114" s="172">
        <v>10.7</v>
      </c>
      <c r="AC114" s="172">
        <v>4</v>
      </c>
      <c r="AD114" s="172">
        <v>0.33</v>
      </c>
      <c r="AE114" s="172">
        <v>0.10100000000000001</v>
      </c>
      <c r="AO114" s="171"/>
      <c r="AP114" s="171"/>
      <c r="AQ114" s="171"/>
      <c r="AR114" s="171"/>
      <c r="AS114" s="171"/>
      <c r="AT114" s="171"/>
      <c r="AU114" s="171" t="s">
        <v>183</v>
      </c>
      <c r="AV114" s="179">
        <v>27</v>
      </c>
      <c r="AW114" s="179">
        <v>23</v>
      </c>
      <c r="AX114" s="179"/>
      <c r="AY114" s="179">
        <v>33</v>
      </c>
      <c r="AZ114" s="179">
        <v>22</v>
      </c>
      <c r="BC114" s="179"/>
      <c r="BD114" s="179"/>
      <c r="BE114" s="179"/>
      <c r="BF114" s="179"/>
      <c r="BG114" s="179"/>
      <c r="BH114" s="179"/>
      <c r="BI114" s="179"/>
      <c r="BJ114" s="179"/>
      <c r="BK114" s="179"/>
      <c r="BL114" s="181"/>
      <c r="BM114" s="181"/>
    </row>
    <row r="115" spans="1:65">
      <c r="A115" s="173" t="s">
        <v>213</v>
      </c>
      <c r="B115" s="173">
        <v>7075</v>
      </c>
      <c r="C115" s="175">
        <v>109</v>
      </c>
      <c r="D115" s="177" t="s">
        <v>212</v>
      </c>
      <c r="E115" s="173" t="s">
        <v>211</v>
      </c>
      <c r="F115" s="173" t="s">
        <v>175</v>
      </c>
      <c r="G115" s="173" t="s">
        <v>210</v>
      </c>
      <c r="H115" s="173" t="s">
        <v>209</v>
      </c>
      <c r="I115" s="173" t="s">
        <v>208</v>
      </c>
      <c r="J115" s="172">
        <v>78</v>
      </c>
      <c r="K115" s="172">
        <v>63</v>
      </c>
      <c r="L115" s="172">
        <v>63</v>
      </c>
      <c r="M115" s="172">
        <v>68</v>
      </c>
      <c r="N115" s="172">
        <v>52</v>
      </c>
      <c r="O115" s="172">
        <v>52</v>
      </c>
      <c r="P115" s="172">
        <v>68</v>
      </c>
      <c r="Q115" s="172">
        <v>57</v>
      </c>
      <c r="R115" s="172">
        <v>57</v>
      </c>
      <c r="S115" s="172">
        <v>38</v>
      </c>
      <c r="T115" s="172">
        <v>101</v>
      </c>
      <c r="U115" s="172">
        <v>131</v>
      </c>
      <c r="V115" s="172">
        <v>79</v>
      </c>
      <c r="W115" s="172">
        <v>95</v>
      </c>
      <c r="X115" s="172">
        <v>6</v>
      </c>
      <c r="Y115" s="172">
        <v>10.4</v>
      </c>
      <c r="Z115" s="172">
        <v>10.4</v>
      </c>
      <c r="AA115" s="172">
        <v>10.7</v>
      </c>
      <c r="AB115" s="172">
        <v>10.7</v>
      </c>
      <c r="AC115" s="172">
        <v>4</v>
      </c>
      <c r="AD115" s="172">
        <v>0.33</v>
      </c>
      <c r="AE115" s="172">
        <v>0.10100000000000001</v>
      </c>
      <c r="AO115" s="171"/>
      <c r="AP115" s="171"/>
      <c r="AQ115" s="171"/>
      <c r="AR115" s="171"/>
      <c r="AS115" s="171"/>
      <c r="AT115" s="171"/>
      <c r="AU115" s="171" t="s">
        <v>183</v>
      </c>
      <c r="AV115" s="179">
        <v>27</v>
      </c>
      <c r="AW115" s="179">
        <v>23</v>
      </c>
      <c r="AX115" s="179"/>
      <c r="AY115" s="179">
        <v>33</v>
      </c>
      <c r="AZ115" s="179">
        <v>22</v>
      </c>
      <c r="BC115" s="179"/>
      <c r="BD115" s="179"/>
      <c r="BE115" s="179"/>
      <c r="BF115" s="179"/>
      <c r="BG115" s="179"/>
      <c r="BH115" s="179"/>
      <c r="BI115" s="179"/>
      <c r="BJ115" s="179"/>
      <c r="BK115" s="179"/>
      <c r="BL115" s="181"/>
      <c r="BM115" s="181"/>
    </row>
    <row r="116" spans="1:65">
      <c r="B116" s="173">
        <v>7075</v>
      </c>
      <c r="C116" s="175">
        <v>110</v>
      </c>
      <c r="D116" s="177"/>
      <c r="E116" s="173" t="s">
        <v>205</v>
      </c>
      <c r="F116" s="173" t="s">
        <v>207</v>
      </c>
      <c r="G116" s="173" t="s">
        <v>204</v>
      </c>
      <c r="H116" s="173" t="s">
        <v>203</v>
      </c>
      <c r="I116" s="173" t="s">
        <v>201</v>
      </c>
      <c r="J116" s="172">
        <v>67</v>
      </c>
      <c r="K116" s="172">
        <v>67</v>
      </c>
      <c r="M116" s="172">
        <v>56</v>
      </c>
      <c r="N116" s="172">
        <v>56</v>
      </c>
      <c r="P116" s="172">
        <v>55</v>
      </c>
      <c r="Q116" s="172">
        <v>58</v>
      </c>
      <c r="S116" s="172">
        <v>38</v>
      </c>
      <c r="T116" s="172">
        <v>105</v>
      </c>
      <c r="U116" s="172">
        <v>134</v>
      </c>
      <c r="V116" s="172">
        <v>84</v>
      </c>
      <c r="W116" s="172">
        <v>102</v>
      </c>
      <c r="X116" s="172">
        <v>8</v>
      </c>
      <c r="Y116" s="172">
        <v>10.3</v>
      </c>
      <c r="Z116" s="172">
        <v>10.3</v>
      </c>
      <c r="AA116" s="172">
        <v>10.5</v>
      </c>
      <c r="AB116" s="172">
        <v>10.5</v>
      </c>
      <c r="AC116" s="172">
        <v>3.9</v>
      </c>
      <c r="AD116" s="172">
        <v>0.33</v>
      </c>
      <c r="AE116" s="172">
        <v>0.10100000000000001</v>
      </c>
      <c r="AO116" s="171"/>
      <c r="AP116" s="171"/>
      <c r="AQ116" s="171"/>
      <c r="AR116" s="171"/>
      <c r="AS116" s="171"/>
      <c r="AT116" s="171"/>
      <c r="BC116" s="179"/>
      <c r="BD116" s="179"/>
      <c r="BE116" s="179"/>
      <c r="BF116" s="179"/>
      <c r="BG116" s="179"/>
      <c r="BH116" s="179"/>
      <c r="BI116" s="179"/>
      <c r="BJ116" s="179"/>
      <c r="BK116" s="179"/>
      <c r="BL116" s="181"/>
      <c r="BM116" s="181"/>
    </row>
    <row r="117" spans="1:65">
      <c r="B117" s="173">
        <v>7075</v>
      </c>
      <c r="C117" s="175">
        <v>111</v>
      </c>
      <c r="D117" s="177"/>
      <c r="E117" s="173" t="s">
        <v>205</v>
      </c>
      <c r="F117" s="173" t="s">
        <v>140</v>
      </c>
      <c r="G117" s="173" t="s">
        <v>204</v>
      </c>
      <c r="H117" s="173" t="s">
        <v>203</v>
      </c>
      <c r="I117" s="173" t="s">
        <v>172</v>
      </c>
      <c r="J117" s="172">
        <v>68</v>
      </c>
      <c r="K117" s="172">
        <v>69</v>
      </c>
      <c r="M117" s="172">
        <v>57</v>
      </c>
      <c r="N117" s="172">
        <v>57</v>
      </c>
      <c r="P117" s="172">
        <v>56</v>
      </c>
      <c r="Q117" s="172">
        <v>59</v>
      </c>
      <c r="S117" s="172">
        <v>38</v>
      </c>
      <c r="T117" s="172">
        <v>102</v>
      </c>
      <c r="U117" s="172">
        <v>131</v>
      </c>
      <c r="V117" s="172">
        <v>79</v>
      </c>
      <c r="W117" s="172">
        <v>95</v>
      </c>
      <c r="X117" s="172">
        <v>7</v>
      </c>
      <c r="Y117" s="172">
        <v>10.3</v>
      </c>
      <c r="Z117" s="172">
        <v>10.3</v>
      </c>
      <c r="AA117" s="172">
        <v>10.6</v>
      </c>
      <c r="AB117" s="172">
        <v>10.6</v>
      </c>
      <c r="AC117" s="172">
        <v>3.9</v>
      </c>
      <c r="AD117" s="172">
        <v>0.33</v>
      </c>
      <c r="AE117" s="172">
        <v>0.10100000000000001</v>
      </c>
      <c r="AO117" s="171"/>
      <c r="AP117" s="171"/>
      <c r="AQ117" s="171"/>
      <c r="AR117" s="171"/>
      <c r="AS117" s="171"/>
      <c r="AT117" s="171"/>
      <c r="BC117" s="179"/>
      <c r="BD117" s="179"/>
      <c r="BE117" s="179"/>
      <c r="BF117" s="179"/>
      <c r="BG117" s="179"/>
      <c r="BH117" s="179"/>
      <c r="BI117" s="179"/>
      <c r="BJ117" s="179"/>
      <c r="BK117" s="179"/>
      <c r="BL117" s="181"/>
      <c r="BM117" s="181"/>
    </row>
    <row r="118" spans="1:65">
      <c r="B118" s="173">
        <v>7075</v>
      </c>
      <c r="C118" s="175">
        <v>112</v>
      </c>
      <c r="D118" s="177"/>
      <c r="E118" s="173" t="s">
        <v>205</v>
      </c>
      <c r="F118" s="173" t="s">
        <v>140</v>
      </c>
      <c r="G118" s="173" t="s">
        <v>204</v>
      </c>
      <c r="H118" s="173" t="s">
        <v>203</v>
      </c>
      <c r="I118" s="173" t="s">
        <v>171</v>
      </c>
      <c r="J118" s="172">
        <v>68</v>
      </c>
      <c r="K118" s="172">
        <v>69</v>
      </c>
      <c r="M118" s="172">
        <v>57</v>
      </c>
      <c r="N118" s="172">
        <v>57</v>
      </c>
      <c r="P118" s="172">
        <v>56</v>
      </c>
      <c r="Q118" s="172">
        <v>59</v>
      </c>
      <c r="S118" s="172">
        <v>38</v>
      </c>
      <c r="T118" s="172">
        <v>103</v>
      </c>
      <c r="U118" s="172">
        <v>132</v>
      </c>
      <c r="V118" s="172">
        <v>81</v>
      </c>
      <c r="W118" s="172">
        <v>97</v>
      </c>
      <c r="X118" s="172">
        <v>7</v>
      </c>
      <c r="Y118" s="172">
        <v>10.3</v>
      </c>
      <c r="Z118" s="172">
        <v>10.3</v>
      </c>
      <c r="AA118" s="172">
        <v>10.6</v>
      </c>
      <c r="AB118" s="172">
        <v>10.6</v>
      </c>
      <c r="AC118" s="172">
        <v>3.9</v>
      </c>
      <c r="AD118" s="172">
        <v>0.33</v>
      </c>
      <c r="AE118" s="172">
        <v>0.10100000000000001</v>
      </c>
      <c r="AO118" s="171"/>
      <c r="AP118" s="171"/>
      <c r="AQ118" s="171"/>
      <c r="AR118" s="171"/>
      <c r="AS118" s="171"/>
      <c r="AT118" s="171"/>
      <c r="BC118" s="179"/>
      <c r="BD118" s="179"/>
      <c r="BE118" s="179"/>
      <c r="BF118" s="179"/>
      <c r="BG118" s="179"/>
      <c r="BH118" s="179"/>
      <c r="BI118" s="179"/>
      <c r="BJ118" s="179"/>
      <c r="BK118" s="179"/>
      <c r="BL118" s="181"/>
      <c r="BM118" s="181"/>
    </row>
    <row r="119" spans="1:65">
      <c r="B119" s="173">
        <v>7075</v>
      </c>
      <c r="C119" s="175">
        <v>113</v>
      </c>
      <c r="D119" s="177"/>
      <c r="E119" s="173" t="s">
        <v>205</v>
      </c>
      <c r="F119" s="173" t="s">
        <v>140</v>
      </c>
      <c r="G119" s="173" t="s">
        <v>204</v>
      </c>
      <c r="H119" s="173" t="s">
        <v>203</v>
      </c>
      <c r="I119" s="173" t="s">
        <v>206</v>
      </c>
      <c r="J119" s="172">
        <v>67</v>
      </c>
      <c r="K119" s="172">
        <v>68</v>
      </c>
      <c r="M119" s="172">
        <v>57</v>
      </c>
      <c r="N119" s="172">
        <v>57</v>
      </c>
      <c r="P119" s="172">
        <v>56</v>
      </c>
      <c r="Q119" s="172">
        <v>59</v>
      </c>
      <c r="S119" s="172">
        <v>38</v>
      </c>
      <c r="T119" s="172">
        <v>103</v>
      </c>
      <c r="U119" s="172">
        <v>132</v>
      </c>
      <c r="V119" s="172">
        <v>83</v>
      </c>
      <c r="W119" s="172">
        <v>99</v>
      </c>
      <c r="X119" s="172">
        <v>6</v>
      </c>
      <c r="Y119" s="172">
        <v>10.3</v>
      </c>
      <c r="Z119" s="172">
        <v>10.3</v>
      </c>
      <c r="AA119" s="172">
        <v>10.6</v>
      </c>
      <c r="AB119" s="172">
        <v>10.6</v>
      </c>
      <c r="AC119" s="172">
        <v>3.9</v>
      </c>
      <c r="AD119" s="172">
        <v>0.33</v>
      </c>
      <c r="AE119" s="172">
        <v>0.10100000000000001</v>
      </c>
      <c r="AO119" s="171"/>
      <c r="AP119" s="171"/>
      <c r="AQ119" s="171"/>
      <c r="AR119" s="171"/>
      <c r="AS119" s="171"/>
      <c r="AT119" s="171"/>
      <c r="BC119" s="179"/>
      <c r="BD119" s="179"/>
      <c r="BE119" s="179"/>
      <c r="BF119" s="179"/>
      <c r="BG119" s="179"/>
      <c r="BH119" s="179"/>
      <c r="BI119" s="179"/>
      <c r="BJ119" s="179"/>
      <c r="BK119" s="179"/>
      <c r="BL119" s="181"/>
      <c r="BM119" s="181"/>
    </row>
    <row r="120" spans="1:65">
      <c r="B120" s="173">
        <v>7075</v>
      </c>
      <c r="C120" s="175">
        <v>114</v>
      </c>
      <c r="D120" s="177"/>
      <c r="E120" s="173" t="s">
        <v>205</v>
      </c>
      <c r="F120" s="173" t="s">
        <v>140</v>
      </c>
      <c r="G120" s="173" t="s">
        <v>204</v>
      </c>
      <c r="H120" s="173" t="s">
        <v>203</v>
      </c>
      <c r="I120" s="173" t="s">
        <v>158</v>
      </c>
      <c r="J120" s="172">
        <v>66</v>
      </c>
      <c r="K120" s="172">
        <v>67</v>
      </c>
      <c r="L120" s="172">
        <v>63</v>
      </c>
      <c r="M120" s="172">
        <v>55</v>
      </c>
      <c r="N120" s="172">
        <v>55</v>
      </c>
      <c r="O120" s="172">
        <v>52</v>
      </c>
      <c r="P120" s="172">
        <v>53</v>
      </c>
      <c r="Q120" s="172">
        <v>57</v>
      </c>
      <c r="R120" s="172">
        <v>59</v>
      </c>
      <c r="S120" s="172">
        <v>39</v>
      </c>
      <c r="T120" s="172">
        <v>102</v>
      </c>
      <c r="U120" s="172">
        <v>132</v>
      </c>
      <c r="V120" s="172">
        <v>82</v>
      </c>
      <c r="W120" s="172">
        <v>97</v>
      </c>
      <c r="X120" s="172">
        <v>6</v>
      </c>
      <c r="Y120" s="172">
        <v>10.3</v>
      </c>
      <c r="Z120" s="172">
        <v>10.3</v>
      </c>
      <c r="AA120" s="172">
        <v>10.6</v>
      </c>
      <c r="AB120" s="172">
        <v>10.6</v>
      </c>
      <c r="AC120" s="172">
        <v>3.9</v>
      </c>
      <c r="AD120" s="172">
        <v>0.33</v>
      </c>
      <c r="AE120" s="172">
        <v>0.10100000000000001</v>
      </c>
      <c r="AO120" s="171"/>
      <c r="AP120" s="171"/>
      <c r="AQ120" s="171"/>
      <c r="AR120" s="171"/>
      <c r="AS120" s="171"/>
      <c r="AT120" s="171"/>
      <c r="BC120" s="179"/>
      <c r="BD120" s="179"/>
      <c r="BE120" s="179"/>
      <c r="BF120" s="179"/>
      <c r="BG120" s="179"/>
      <c r="BH120" s="179"/>
      <c r="BI120" s="179"/>
      <c r="BJ120" s="179"/>
      <c r="BK120" s="179"/>
      <c r="BL120" s="181"/>
      <c r="BM120" s="181"/>
    </row>
    <row r="121" spans="1:65">
      <c r="B121" s="173">
        <v>7075</v>
      </c>
      <c r="C121" s="175">
        <v>115</v>
      </c>
      <c r="D121" s="177"/>
      <c r="E121" s="173" t="s">
        <v>205</v>
      </c>
      <c r="F121" s="173" t="s">
        <v>140</v>
      </c>
      <c r="G121" s="173" t="s">
        <v>204</v>
      </c>
      <c r="H121" s="173" t="s">
        <v>203</v>
      </c>
      <c r="I121" s="173" t="s">
        <v>169</v>
      </c>
      <c r="J121" s="172">
        <v>65</v>
      </c>
      <c r="K121" s="172">
        <v>66</v>
      </c>
      <c r="L121" s="172">
        <v>62</v>
      </c>
      <c r="M121" s="172">
        <v>52</v>
      </c>
      <c r="N121" s="172">
        <v>52</v>
      </c>
      <c r="O121" s="172">
        <v>49</v>
      </c>
      <c r="P121" s="172">
        <v>50</v>
      </c>
      <c r="Q121" s="172">
        <v>54</v>
      </c>
      <c r="R121" s="172">
        <v>55</v>
      </c>
      <c r="S121" s="172">
        <v>39</v>
      </c>
      <c r="T121" s="172">
        <v>102</v>
      </c>
      <c r="U121" s="172">
        <v>131</v>
      </c>
      <c r="V121" s="172">
        <v>79</v>
      </c>
      <c r="W121" s="172">
        <v>93</v>
      </c>
      <c r="X121" s="172">
        <v>6</v>
      </c>
      <c r="Y121" s="172">
        <v>10.3</v>
      </c>
      <c r="Z121" s="172">
        <v>10.3</v>
      </c>
      <c r="AA121" s="172">
        <v>10.6</v>
      </c>
      <c r="AB121" s="172">
        <v>10.6</v>
      </c>
      <c r="AC121" s="172">
        <v>3.9</v>
      </c>
      <c r="AD121" s="172">
        <v>0.33</v>
      </c>
      <c r="AE121" s="172">
        <v>0.10100000000000001</v>
      </c>
      <c r="AO121" s="171"/>
      <c r="AP121" s="171"/>
      <c r="AQ121" s="171"/>
      <c r="AR121" s="171"/>
      <c r="AS121" s="171"/>
      <c r="AT121" s="171"/>
      <c r="BI121" s="179"/>
      <c r="BJ121" s="179"/>
      <c r="BK121" s="179"/>
      <c r="BL121" s="181"/>
      <c r="BM121" s="181"/>
    </row>
    <row r="122" spans="1:65">
      <c r="B122" s="173">
        <v>7075</v>
      </c>
      <c r="C122" s="175">
        <v>116</v>
      </c>
      <c r="D122" s="177"/>
      <c r="E122" s="173" t="s">
        <v>205</v>
      </c>
      <c r="F122" s="173" t="s">
        <v>140</v>
      </c>
      <c r="G122" s="173" t="s">
        <v>204</v>
      </c>
      <c r="H122" s="173" t="s">
        <v>203</v>
      </c>
      <c r="I122" s="173" t="s">
        <v>168</v>
      </c>
      <c r="J122" s="172">
        <v>63</v>
      </c>
      <c r="K122" s="172">
        <v>64</v>
      </c>
      <c r="L122" s="172">
        <v>60</v>
      </c>
      <c r="M122" s="172">
        <v>49</v>
      </c>
      <c r="N122" s="172">
        <v>49</v>
      </c>
      <c r="O122" s="172">
        <v>47</v>
      </c>
      <c r="P122" s="172">
        <v>47</v>
      </c>
      <c r="Q122" s="172">
        <v>51</v>
      </c>
      <c r="R122" s="172">
        <v>51</v>
      </c>
      <c r="S122" s="172">
        <v>38</v>
      </c>
      <c r="T122" s="172">
        <v>100</v>
      </c>
      <c r="U122" s="172">
        <v>128</v>
      </c>
      <c r="V122" s="172">
        <v>76</v>
      </c>
      <c r="W122" s="172">
        <v>89</v>
      </c>
      <c r="X122" s="172">
        <v>6</v>
      </c>
      <c r="Y122" s="172">
        <v>10.3</v>
      </c>
      <c r="Z122" s="172">
        <v>10.3</v>
      </c>
      <c r="AA122" s="172">
        <v>10.6</v>
      </c>
      <c r="AB122" s="172">
        <v>10.6</v>
      </c>
      <c r="AC122" s="172">
        <v>3.9</v>
      </c>
      <c r="AD122" s="172">
        <v>0.33</v>
      </c>
      <c r="AE122" s="172">
        <v>0.10100000000000001</v>
      </c>
      <c r="AO122" s="171"/>
      <c r="AP122" s="171"/>
      <c r="AQ122" s="171"/>
      <c r="AR122" s="171"/>
      <c r="AS122" s="171"/>
      <c r="AT122" s="171"/>
      <c r="BC122" s="179"/>
      <c r="BD122" s="179"/>
      <c r="BE122" s="179"/>
      <c r="BF122" s="179"/>
      <c r="BG122" s="179"/>
      <c r="BH122" s="179"/>
      <c r="BI122" s="179"/>
      <c r="BJ122" s="179"/>
      <c r="BK122" s="179"/>
      <c r="BL122" s="181"/>
      <c r="BM122" s="181"/>
    </row>
    <row r="123" spans="1:65">
      <c r="B123" s="173">
        <v>7075</v>
      </c>
      <c r="C123" s="175">
        <v>117</v>
      </c>
      <c r="D123" s="177"/>
      <c r="E123" s="173" t="s">
        <v>205</v>
      </c>
      <c r="F123" s="173" t="s">
        <v>140</v>
      </c>
      <c r="G123" s="173" t="s">
        <v>204</v>
      </c>
      <c r="H123" s="173" t="s">
        <v>203</v>
      </c>
      <c r="I123" s="173" t="s">
        <v>167</v>
      </c>
      <c r="J123" s="172">
        <v>62</v>
      </c>
      <c r="K123" s="172">
        <v>63</v>
      </c>
      <c r="L123" s="172">
        <v>59</v>
      </c>
      <c r="M123" s="172">
        <v>49</v>
      </c>
      <c r="N123" s="172">
        <v>49</v>
      </c>
      <c r="O123" s="172">
        <v>47</v>
      </c>
      <c r="P123" s="172">
        <v>47</v>
      </c>
      <c r="Q123" s="172">
        <v>51</v>
      </c>
      <c r="R123" s="172">
        <v>50</v>
      </c>
      <c r="S123" s="172">
        <v>38</v>
      </c>
      <c r="T123" s="172">
        <v>99</v>
      </c>
      <c r="U123" s="172">
        <v>127</v>
      </c>
      <c r="V123" s="172">
        <v>76</v>
      </c>
      <c r="W123" s="172">
        <v>89</v>
      </c>
      <c r="X123" s="172">
        <v>6</v>
      </c>
      <c r="Y123" s="172">
        <v>10.3</v>
      </c>
      <c r="Z123" s="172">
        <v>10.3</v>
      </c>
      <c r="AA123" s="172">
        <v>10.6</v>
      </c>
      <c r="AB123" s="172">
        <v>10.6</v>
      </c>
      <c r="AC123" s="172">
        <v>3.9</v>
      </c>
      <c r="AD123" s="172">
        <v>0.33</v>
      </c>
      <c r="AE123" s="172">
        <v>0.10100000000000001</v>
      </c>
      <c r="AO123" s="171"/>
      <c r="AP123" s="171"/>
      <c r="AQ123" s="171"/>
      <c r="AR123" s="171"/>
      <c r="AS123" s="171"/>
      <c r="AT123" s="171"/>
      <c r="BC123" s="179"/>
      <c r="BD123" s="179"/>
      <c r="BE123" s="179"/>
      <c r="BF123" s="179"/>
      <c r="BG123" s="179"/>
      <c r="BH123" s="179"/>
      <c r="BI123" s="179"/>
      <c r="BJ123" s="179"/>
      <c r="BK123" s="179"/>
      <c r="BL123" s="181"/>
      <c r="BM123" s="181"/>
    </row>
    <row r="124" spans="1:65">
      <c r="B124" s="173">
        <v>7075</v>
      </c>
      <c r="C124" s="175">
        <v>118</v>
      </c>
      <c r="D124" s="177"/>
      <c r="E124" s="173" t="s">
        <v>205</v>
      </c>
      <c r="F124" s="173" t="s">
        <v>140</v>
      </c>
      <c r="G124" s="173" t="s">
        <v>204</v>
      </c>
      <c r="H124" s="173" t="s">
        <v>203</v>
      </c>
      <c r="I124" s="173" t="s">
        <v>161</v>
      </c>
      <c r="J124" s="172">
        <v>60</v>
      </c>
      <c r="K124" s="172">
        <v>61</v>
      </c>
      <c r="L124" s="172">
        <v>57</v>
      </c>
      <c r="M124" s="172">
        <v>48</v>
      </c>
      <c r="N124" s="172">
        <v>48</v>
      </c>
      <c r="O124" s="172">
        <v>46</v>
      </c>
      <c r="P124" s="172">
        <v>45</v>
      </c>
      <c r="Q124" s="172">
        <v>50</v>
      </c>
      <c r="R124" s="172">
        <v>48</v>
      </c>
      <c r="S124" s="172">
        <v>37</v>
      </c>
      <c r="T124" s="172">
        <v>96</v>
      </c>
      <c r="U124" s="172">
        <v>124</v>
      </c>
      <c r="V124" s="172">
        <v>96</v>
      </c>
      <c r="W124" s="172">
        <v>124</v>
      </c>
      <c r="X124" s="172">
        <v>6</v>
      </c>
      <c r="Y124" s="172">
        <v>10.3</v>
      </c>
      <c r="Z124" s="172">
        <v>10.3</v>
      </c>
      <c r="AA124" s="172">
        <v>10.6</v>
      </c>
      <c r="AB124" s="172">
        <v>10.6</v>
      </c>
      <c r="AC124" s="172">
        <v>3.9</v>
      </c>
      <c r="AD124" s="172">
        <v>0.33</v>
      </c>
      <c r="AE124" s="172">
        <v>0.10100000000000001</v>
      </c>
      <c r="AO124" s="171"/>
      <c r="AP124" s="171"/>
      <c r="AQ124" s="171"/>
      <c r="AR124" s="171"/>
      <c r="AS124" s="171"/>
      <c r="AT124" s="171"/>
      <c r="BC124" s="179"/>
      <c r="BD124" s="179"/>
      <c r="BE124" s="179"/>
      <c r="BF124" s="179"/>
      <c r="BG124" s="179"/>
      <c r="BH124" s="179"/>
      <c r="BI124" s="179"/>
      <c r="BJ124" s="179"/>
      <c r="BK124" s="179"/>
      <c r="BL124" s="181"/>
      <c r="BM124" s="181"/>
    </row>
    <row r="125" spans="1:65">
      <c r="A125" s="173" t="s">
        <v>166</v>
      </c>
      <c r="B125" s="173">
        <v>2014</v>
      </c>
      <c r="C125" s="175">
        <v>119</v>
      </c>
      <c r="E125" s="173" t="s">
        <v>200</v>
      </c>
      <c r="F125" s="173" t="s">
        <v>182</v>
      </c>
      <c r="G125" s="173" t="s">
        <v>199</v>
      </c>
      <c r="H125" s="173" t="s">
        <v>198</v>
      </c>
      <c r="I125" s="173" t="s">
        <v>202</v>
      </c>
      <c r="J125" s="172">
        <v>62</v>
      </c>
      <c r="K125" s="172">
        <v>61</v>
      </c>
      <c r="M125" s="172">
        <v>54</v>
      </c>
      <c r="N125" s="172">
        <v>53</v>
      </c>
      <c r="P125" s="172">
        <v>54</v>
      </c>
      <c r="Q125" s="172">
        <v>55</v>
      </c>
      <c r="S125" s="178">
        <v>37</v>
      </c>
      <c r="T125" s="172">
        <v>93</v>
      </c>
      <c r="U125" s="178">
        <v>117</v>
      </c>
      <c r="V125" s="178">
        <v>76</v>
      </c>
      <c r="W125" s="178">
        <v>86</v>
      </c>
      <c r="X125" s="172">
        <v>7</v>
      </c>
      <c r="Y125" s="172">
        <v>10.5</v>
      </c>
      <c r="Z125" s="172">
        <v>10.5</v>
      </c>
      <c r="AA125" s="172">
        <v>10.7</v>
      </c>
      <c r="AB125" s="172">
        <v>10.7</v>
      </c>
      <c r="AC125" s="172">
        <v>4</v>
      </c>
      <c r="AD125" s="172">
        <v>0.33</v>
      </c>
      <c r="AE125" s="172">
        <v>0.10100000000000001</v>
      </c>
      <c r="AO125" s="171">
        <v>1</v>
      </c>
      <c r="AP125" s="171">
        <v>1</v>
      </c>
      <c r="AQ125" s="171">
        <v>6</v>
      </c>
      <c r="AR125" s="171">
        <v>8</v>
      </c>
      <c r="AS125" s="171">
        <v>8</v>
      </c>
      <c r="AT125" s="171">
        <v>8</v>
      </c>
      <c r="AV125" s="179">
        <v>17</v>
      </c>
      <c r="AW125" s="179">
        <v>13</v>
      </c>
      <c r="AX125" s="179"/>
      <c r="AY125" s="179">
        <v>32</v>
      </c>
      <c r="AZ125" s="179">
        <v>17</v>
      </c>
      <c r="BA125" s="179"/>
      <c r="BC125" s="179"/>
      <c r="BD125" s="179"/>
      <c r="BE125" s="179"/>
      <c r="BF125" s="179"/>
      <c r="BG125" s="179"/>
      <c r="BH125" s="179"/>
      <c r="BI125" s="179"/>
      <c r="BJ125" s="179"/>
      <c r="BK125" s="179"/>
      <c r="BL125" s="181"/>
      <c r="BM125" s="181"/>
    </row>
    <row r="126" spans="1:65">
      <c r="A126" s="173" t="s">
        <v>166</v>
      </c>
      <c r="B126" s="173">
        <v>2014</v>
      </c>
      <c r="C126" s="175">
        <v>120</v>
      </c>
      <c r="E126" s="173" t="s">
        <v>200</v>
      </c>
      <c r="F126" s="173" t="s">
        <v>182</v>
      </c>
      <c r="G126" s="173" t="s">
        <v>199</v>
      </c>
      <c r="H126" s="173" t="s">
        <v>198</v>
      </c>
      <c r="I126" s="173" t="s">
        <v>201</v>
      </c>
      <c r="J126" s="172">
        <v>65</v>
      </c>
      <c r="K126" s="172">
        <v>64</v>
      </c>
      <c r="M126" s="172">
        <v>57</v>
      </c>
      <c r="N126" s="172">
        <v>56</v>
      </c>
      <c r="P126" s="172">
        <v>57</v>
      </c>
      <c r="Q126" s="172">
        <v>58</v>
      </c>
      <c r="S126" s="172">
        <v>39</v>
      </c>
      <c r="T126" s="178">
        <v>97</v>
      </c>
      <c r="U126" s="178">
        <v>123</v>
      </c>
      <c r="V126" s="172">
        <v>80</v>
      </c>
      <c r="W126" s="172">
        <v>91</v>
      </c>
      <c r="X126" s="172">
        <v>8</v>
      </c>
      <c r="Y126" s="172">
        <v>10.5</v>
      </c>
      <c r="Z126" s="172">
        <v>10.5</v>
      </c>
      <c r="AA126" s="172">
        <v>10.7</v>
      </c>
      <c r="AB126" s="172">
        <v>10.7</v>
      </c>
      <c r="AC126" s="172">
        <v>4</v>
      </c>
      <c r="AD126" s="172">
        <v>0.33</v>
      </c>
      <c r="AE126" s="172">
        <v>0.10100000000000001</v>
      </c>
      <c r="AO126" s="171">
        <v>1</v>
      </c>
      <c r="AP126" s="171">
        <v>1</v>
      </c>
      <c r="AQ126" s="171">
        <v>6</v>
      </c>
      <c r="AR126" s="171">
        <v>8</v>
      </c>
      <c r="AS126" s="171">
        <v>8</v>
      </c>
      <c r="AT126" s="171">
        <v>8</v>
      </c>
      <c r="AV126" s="179">
        <v>15</v>
      </c>
      <c r="AW126" s="179">
        <v>17</v>
      </c>
      <c r="AX126" s="179"/>
      <c r="AY126" s="179">
        <v>27</v>
      </c>
      <c r="AZ126" s="179">
        <v>20</v>
      </c>
      <c r="BC126" s="179"/>
      <c r="BE126" s="179"/>
      <c r="BF126" s="179"/>
      <c r="BH126" s="179"/>
      <c r="BI126" s="179"/>
      <c r="BJ126" s="179"/>
      <c r="BK126" s="179"/>
      <c r="BL126" s="181"/>
      <c r="BM126" s="181"/>
    </row>
    <row r="127" spans="1:65">
      <c r="A127" s="173" t="s">
        <v>166</v>
      </c>
      <c r="B127" s="173">
        <v>2014</v>
      </c>
      <c r="C127" s="175">
        <v>121</v>
      </c>
      <c r="D127" s="177"/>
      <c r="E127" s="173" t="s">
        <v>200</v>
      </c>
      <c r="F127" s="173" t="s">
        <v>164</v>
      </c>
      <c r="G127" s="173" t="s">
        <v>199</v>
      </c>
      <c r="H127" s="173" t="s">
        <v>198</v>
      </c>
      <c r="I127" s="173" t="s">
        <v>172</v>
      </c>
      <c r="J127" s="172">
        <v>63</v>
      </c>
      <c r="K127" s="172">
        <v>64</v>
      </c>
      <c r="M127" s="172">
        <v>58</v>
      </c>
      <c r="N127" s="172">
        <v>57</v>
      </c>
      <c r="P127" s="172">
        <v>56</v>
      </c>
      <c r="Q127" s="172">
        <v>59</v>
      </c>
      <c r="S127" s="172">
        <v>38</v>
      </c>
      <c r="T127" s="172">
        <v>101</v>
      </c>
      <c r="U127" s="172">
        <v>128</v>
      </c>
      <c r="V127" s="172">
        <v>87</v>
      </c>
      <c r="W127" s="172">
        <v>102</v>
      </c>
      <c r="X127" s="172">
        <v>8</v>
      </c>
      <c r="Y127" s="172">
        <v>10.7</v>
      </c>
      <c r="Z127" s="172">
        <v>10.7</v>
      </c>
      <c r="AA127" s="172">
        <v>10.9</v>
      </c>
      <c r="AB127" s="172">
        <v>10.9</v>
      </c>
      <c r="AC127" s="172">
        <v>4</v>
      </c>
      <c r="AD127" s="172">
        <v>0.33</v>
      </c>
      <c r="AE127" s="172">
        <v>0.10100000000000001</v>
      </c>
      <c r="AO127" s="171">
        <v>1</v>
      </c>
      <c r="AP127" s="171">
        <v>1</v>
      </c>
      <c r="AQ127" s="171">
        <v>6</v>
      </c>
      <c r="AR127" s="171">
        <v>8</v>
      </c>
      <c r="AS127" s="171">
        <v>8</v>
      </c>
      <c r="AT127" s="171">
        <v>8</v>
      </c>
      <c r="AU127" s="171" t="s">
        <v>160</v>
      </c>
      <c r="AV127" s="171">
        <f t="shared" ref="AV127:AW132" si="0">AV9</f>
        <v>15</v>
      </c>
      <c r="AW127" s="171">
        <f t="shared" si="0"/>
        <v>18</v>
      </c>
      <c r="AY127" s="171">
        <f t="shared" ref="AY127:AZ132" si="1">AY9</f>
        <v>30</v>
      </c>
      <c r="AZ127" s="171">
        <f t="shared" si="1"/>
        <v>19</v>
      </c>
      <c r="BC127" s="179"/>
      <c r="BD127" s="179"/>
      <c r="BE127" s="179"/>
      <c r="BF127" s="179"/>
      <c r="BG127" s="179"/>
      <c r="BH127" s="179"/>
      <c r="BI127" s="179"/>
      <c r="BJ127" s="179"/>
      <c r="BK127" s="179"/>
      <c r="BL127" s="181"/>
      <c r="BM127" s="181"/>
    </row>
    <row r="128" spans="1:65">
      <c r="A128" s="173" t="s">
        <v>166</v>
      </c>
      <c r="B128" s="173">
        <v>2014</v>
      </c>
      <c r="C128" s="175">
        <v>122</v>
      </c>
      <c r="D128" s="177"/>
      <c r="E128" s="173" t="s">
        <v>200</v>
      </c>
      <c r="F128" s="173" t="s">
        <v>164</v>
      </c>
      <c r="G128" s="173" t="s">
        <v>199</v>
      </c>
      <c r="H128" s="173" t="s">
        <v>198</v>
      </c>
      <c r="I128" s="173" t="s">
        <v>171</v>
      </c>
      <c r="J128" s="172">
        <v>63</v>
      </c>
      <c r="K128" s="172">
        <v>64</v>
      </c>
      <c r="M128" s="172">
        <v>57</v>
      </c>
      <c r="N128" s="172">
        <v>56</v>
      </c>
      <c r="P128" s="172">
        <v>55</v>
      </c>
      <c r="Q128" s="172">
        <v>58</v>
      </c>
      <c r="S128" s="172">
        <v>38</v>
      </c>
      <c r="T128" s="172">
        <v>101</v>
      </c>
      <c r="U128" s="172">
        <v>128</v>
      </c>
      <c r="V128" s="172">
        <v>85</v>
      </c>
      <c r="W128" s="172">
        <v>100</v>
      </c>
      <c r="X128" s="172">
        <v>6</v>
      </c>
      <c r="Y128" s="172">
        <v>10.7</v>
      </c>
      <c r="Z128" s="172">
        <v>10.7</v>
      </c>
      <c r="AA128" s="172">
        <v>10.9</v>
      </c>
      <c r="AB128" s="172">
        <v>10.9</v>
      </c>
      <c r="AC128" s="172">
        <v>4</v>
      </c>
      <c r="AD128" s="172">
        <v>0.33</v>
      </c>
      <c r="AE128" s="172">
        <v>0.10100000000000001</v>
      </c>
      <c r="AO128" s="171">
        <v>2</v>
      </c>
      <c r="AP128" s="171">
        <v>2</v>
      </c>
      <c r="AQ128" s="171">
        <v>6</v>
      </c>
      <c r="AR128" s="171">
        <v>11</v>
      </c>
      <c r="AS128" s="171">
        <v>11</v>
      </c>
      <c r="AT128" s="171">
        <v>11</v>
      </c>
      <c r="AU128" s="171" t="s">
        <v>160</v>
      </c>
      <c r="AV128" s="171">
        <f t="shared" si="0"/>
        <v>15</v>
      </c>
      <c r="AW128" s="171">
        <f t="shared" si="0"/>
        <v>18</v>
      </c>
      <c r="AY128" s="171">
        <f t="shared" si="1"/>
        <v>30</v>
      </c>
      <c r="AZ128" s="171">
        <f t="shared" si="1"/>
        <v>19</v>
      </c>
      <c r="BC128" s="179"/>
      <c r="BE128" s="179"/>
      <c r="BF128" s="179"/>
      <c r="BH128" s="179"/>
      <c r="BI128" s="179"/>
      <c r="BJ128" s="179"/>
      <c r="BK128" s="179"/>
      <c r="BL128" s="181"/>
      <c r="BM128" s="181"/>
    </row>
    <row r="129" spans="1:65">
      <c r="A129" s="173" t="s">
        <v>166</v>
      </c>
      <c r="B129" s="173">
        <v>2014</v>
      </c>
      <c r="C129" s="175">
        <v>123</v>
      </c>
      <c r="D129" s="177"/>
      <c r="E129" s="173" t="s">
        <v>200</v>
      </c>
      <c r="F129" s="173" t="s">
        <v>164</v>
      </c>
      <c r="G129" s="173" t="s">
        <v>199</v>
      </c>
      <c r="H129" s="173" t="s">
        <v>198</v>
      </c>
      <c r="I129" s="173" t="s">
        <v>170</v>
      </c>
      <c r="J129" s="172">
        <v>63</v>
      </c>
      <c r="K129" s="172">
        <v>64</v>
      </c>
      <c r="M129" s="172">
        <v>57</v>
      </c>
      <c r="N129" s="172">
        <v>56</v>
      </c>
      <c r="P129" s="172">
        <v>55</v>
      </c>
      <c r="Q129" s="172">
        <v>58</v>
      </c>
      <c r="S129" s="172">
        <v>38</v>
      </c>
      <c r="T129" s="172">
        <v>101</v>
      </c>
      <c r="U129" s="172">
        <v>128</v>
      </c>
      <c r="V129" s="172">
        <v>85</v>
      </c>
      <c r="W129" s="172">
        <v>100</v>
      </c>
      <c r="X129" s="172">
        <v>4</v>
      </c>
      <c r="Y129" s="172">
        <v>10.7</v>
      </c>
      <c r="Z129" s="172">
        <v>10.7</v>
      </c>
      <c r="AA129" s="172">
        <v>10.9</v>
      </c>
      <c r="AB129" s="172">
        <v>10.9</v>
      </c>
      <c r="AC129" s="172">
        <v>4</v>
      </c>
      <c r="AD129" s="172">
        <v>0.33</v>
      </c>
      <c r="AE129" s="172">
        <v>0.10100000000000001</v>
      </c>
      <c r="AO129" s="171">
        <v>4</v>
      </c>
      <c r="AP129" s="171">
        <v>4</v>
      </c>
      <c r="AQ129" s="171">
        <v>6</v>
      </c>
      <c r="AR129" s="171">
        <v>13</v>
      </c>
      <c r="AS129" s="171">
        <v>13</v>
      </c>
      <c r="AT129" s="171">
        <v>13</v>
      </c>
      <c r="AU129" s="171" t="s">
        <v>160</v>
      </c>
      <c r="AV129" s="171">
        <f t="shared" si="0"/>
        <v>15</v>
      </c>
      <c r="AW129" s="171">
        <f t="shared" si="0"/>
        <v>18</v>
      </c>
      <c r="AY129" s="171">
        <f t="shared" si="1"/>
        <v>30</v>
      </c>
      <c r="AZ129" s="171">
        <f t="shared" si="1"/>
        <v>19</v>
      </c>
      <c r="BC129" s="179"/>
      <c r="BD129" s="179"/>
      <c r="BE129" s="179"/>
      <c r="BF129" s="179"/>
      <c r="BG129" s="179"/>
      <c r="BH129" s="179"/>
      <c r="BI129" s="179"/>
      <c r="BJ129" s="179"/>
      <c r="BK129" s="179"/>
      <c r="BL129" s="181"/>
      <c r="BM129" s="181"/>
    </row>
    <row r="130" spans="1:65">
      <c r="A130" s="173" t="s">
        <v>166</v>
      </c>
      <c r="B130" s="173">
        <v>2014</v>
      </c>
      <c r="C130" s="175">
        <v>124</v>
      </c>
      <c r="D130" s="177"/>
      <c r="E130" s="173" t="s">
        <v>200</v>
      </c>
      <c r="F130" s="173" t="s">
        <v>164</v>
      </c>
      <c r="G130" s="173" t="s">
        <v>199</v>
      </c>
      <c r="H130" s="173" t="s">
        <v>198</v>
      </c>
      <c r="I130" s="173" t="s">
        <v>169</v>
      </c>
      <c r="J130" s="172">
        <v>61</v>
      </c>
      <c r="K130" s="172">
        <v>62</v>
      </c>
      <c r="L130" s="172">
        <v>59</v>
      </c>
      <c r="M130" s="172">
        <v>56</v>
      </c>
      <c r="N130" s="172">
        <v>55</v>
      </c>
      <c r="O130" s="172">
        <v>54</v>
      </c>
      <c r="P130" s="172">
        <v>54</v>
      </c>
      <c r="Q130" s="172">
        <v>57</v>
      </c>
      <c r="R130" s="172">
        <v>59</v>
      </c>
      <c r="S130" s="172">
        <v>37</v>
      </c>
      <c r="T130" s="172">
        <v>97</v>
      </c>
      <c r="U130" s="172">
        <v>124</v>
      </c>
      <c r="V130" s="172">
        <v>84</v>
      </c>
      <c r="W130" s="172">
        <v>98</v>
      </c>
      <c r="X130" s="172">
        <v>2</v>
      </c>
      <c r="Y130" s="172">
        <v>10.7</v>
      </c>
      <c r="Z130" s="172">
        <v>10.7</v>
      </c>
      <c r="AA130" s="172">
        <v>10.9</v>
      </c>
      <c r="AB130" s="172">
        <v>10.9</v>
      </c>
      <c r="AC130" s="172">
        <v>4</v>
      </c>
      <c r="AD130" s="172">
        <v>0.33</v>
      </c>
      <c r="AE130" s="172">
        <v>0.10100000000000001</v>
      </c>
      <c r="AO130" s="171">
        <v>4</v>
      </c>
      <c r="AP130" s="171">
        <v>4</v>
      </c>
      <c r="AQ130" s="171">
        <v>6</v>
      </c>
      <c r="AR130" s="171">
        <v>13</v>
      </c>
      <c r="AS130" s="171">
        <v>13</v>
      </c>
      <c r="AT130" s="171">
        <v>13</v>
      </c>
      <c r="AU130" s="171" t="s">
        <v>160</v>
      </c>
      <c r="AV130" s="171">
        <f t="shared" si="0"/>
        <v>15</v>
      </c>
      <c r="AW130" s="171">
        <f t="shared" si="0"/>
        <v>18</v>
      </c>
      <c r="AY130" s="171">
        <f t="shared" si="1"/>
        <v>30</v>
      </c>
      <c r="AZ130" s="171">
        <f t="shared" si="1"/>
        <v>19</v>
      </c>
      <c r="BC130" s="179"/>
      <c r="BD130" s="179"/>
      <c r="BE130" s="179"/>
      <c r="BF130" s="179"/>
      <c r="BG130" s="179"/>
      <c r="BH130" s="179"/>
      <c r="BI130" s="179"/>
      <c r="BJ130" s="179"/>
      <c r="BK130" s="179"/>
      <c r="BL130" s="181"/>
      <c r="BM130" s="181"/>
    </row>
    <row r="131" spans="1:65">
      <c r="A131" s="173" t="s">
        <v>166</v>
      </c>
      <c r="B131" s="173">
        <v>2014</v>
      </c>
      <c r="C131" s="175">
        <v>125</v>
      </c>
      <c r="D131" s="177"/>
      <c r="E131" s="173" t="s">
        <v>200</v>
      </c>
      <c r="F131" s="173" t="s">
        <v>164</v>
      </c>
      <c r="G131" s="173" t="s">
        <v>199</v>
      </c>
      <c r="H131" s="173" t="s">
        <v>198</v>
      </c>
      <c r="I131" s="173" t="s">
        <v>168</v>
      </c>
      <c r="K131" s="172">
        <v>60</v>
      </c>
      <c r="N131" s="172">
        <v>54</v>
      </c>
      <c r="X131" s="172">
        <v>2</v>
      </c>
      <c r="Y131" s="172">
        <v>10.7</v>
      </c>
      <c r="Z131" s="172">
        <v>10.7</v>
      </c>
      <c r="AA131" s="172">
        <v>10.9</v>
      </c>
      <c r="AB131" s="172">
        <v>10.9</v>
      </c>
      <c r="AC131" s="172">
        <v>4</v>
      </c>
      <c r="AD131" s="172">
        <v>0.33</v>
      </c>
      <c r="AE131" s="172">
        <v>0.10100000000000001</v>
      </c>
      <c r="AO131" s="171">
        <v>4</v>
      </c>
      <c r="AP131" s="171">
        <v>4</v>
      </c>
      <c r="AQ131" s="171">
        <v>6</v>
      </c>
      <c r="AR131" s="171">
        <v>13</v>
      </c>
      <c r="AS131" s="171">
        <v>13</v>
      </c>
      <c r="AT131" s="171">
        <v>13</v>
      </c>
      <c r="AU131" s="171" t="s">
        <v>160</v>
      </c>
      <c r="AV131" s="171">
        <f t="shared" si="0"/>
        <v>15</v>
      </c>
      <c r="AW131" s="171">
        <f t="shared" si="0"/>
        <v>18</v>
      </c>
      <c r="AY131" s="171">
        <f t="shared" si="1"/>
        <v>30</v>
      </c>
      <c r="AZ131" s="171">
        <f t="shared" si="1"/>
        <v>19</v>
      </c>
      <c r="BC131" s="179"/>
      <c r="BE131" s="179"/>
      <c r="BF131" s="179"/>
      <c r="BG131" s="179"/>
      <c r="BH131" s="179"/>
      <c r="BI131" s="179"/>
      <c r="BJ131" s="179"/>
      <c r="BK131" s="179"/>
      <c r="BL131" s="181"/>
      <c r="BM131" s="181"/>
    </row>
    <row r="132" spans="1:65">
      <c r="A132" s="173" t="s">
        <v>166</v>
      </c>
      <c r="B132" s="173">
        <v>2014</v>
      </c>
      <c r="C132" s="175">
        <v>126</v>
      </c>
      <c r="D132" s="177"/>
      <c r="E132" s="173" t="s">
        <v>200</v>
      </c>
      <c r="F132" s="173" t="s">
        <v>164</v>
      </c>
      <c r="G132" s="173" t="s">
        <v>199</v>
      </c>
      <c r="H132" s="173" t="s">
        <v>198</v>
      </c>
      <c r="I132" s="173" t="s">
        <v>197</v>
      </c>
      <c r="K132" s="172">
        <v>56</v>
      </c>
      <c r="N132" s="172">
        <v>52</v>
      </c>
      <c r="AO132" s="171">
        <v>4</v>
      </c>
      <c r="AP132" s="171">
        <v>4</v>
      </c>
      <c r="AQ132" s="171">
        <v>6</v>
      </c>
      <c r="AR132" s="171">
        <v>13</v>
      </c>
      <c r="AS132" s="171">
        <v>13</v>
      </c>
      <c r="AT132" s="171">
        <v>13</v>
      </c>
      <c r="AU132" s="171" t="s">
        <v>160</v>
      </c>
      <c r="AV132" s="171">
        <f t="shared" si="0"/>
        <v>15</v>
      </c>
      <c r="AW132" s="171">
        <f t="shared" si="0"/>
        <v>18</v>
      </c>
      <c r="AY132" s="171">
        <f t="shared" si="1"/>
        <v>30</v>
      </c>
      <c r="AZ132" s="171">
        <f t="shared" si="1"/>
        <v>19</v>
      </c>
      <c r="BC132" s="179"/>
      <c r="BD132" s="179"/>
      <c r="BE132" s="179"/>
      <c r="BF132" s="179"/>
      <c r="BH132" s="179"/>
      <c r="BI132" s="179"/>
      <c r="BJ132" s="179"/>
      <c r="BK132" s="179"/>
      <c r="BL132" s="181"/>
      <c r="BM132" s="181"/>
    </row>
    <row r="133" spans="1:65">
      <c r="A133" s="173" t="s">
        <v>166</v>
      </c>
      <c r="B133" s="173">
        <v>2024</v>
      </c>
      <c r="C133" s="175">
        <v>127</v>
      </c>
      <c r="E133" s="173" t="s">
        <v>184</v>
      </c>
      <c r="F133" s="173" t="s">
        <v>195</v>
      </c>
      <c r="G133" s="173" t="s">
        <v>187</v>
      </c>
      <c r="H133" s="173" t="s">
        <v>194</v>
      </c>
      <c r="I133" s="173" t="s">
        <v>191</v>
      </c>
      <c r="J133" s="172">
        <v>59</v>
      </c>
      <c r="K133" s="172">
        <v>58</v>
      </c>
      <c r="M133" s="172">
        <v>44</v>
      </c>
      <c r="N133" s="172">
        <v>39</v>
      </c>
      <c r="P133" s="172">
        <v>36</v>
      </c>
      <c r="Q133" s="172">
        <v>42</v>
      </c>
      <c r="S133" s="172">
        <v>37</v>
      </c>
      <c r="T133" s="172">
        <v>96</v>
      </c>
      <c r="U133" s="172">
        <v>119</v>
      </c>
      <c r="V133" s="172">
        <v>68</v>
      </c>
      <c r="W133" s="172">
        <v>82</v>
      </c>
      <c r="X133" s="172">
        <v>10</v>
      </c>
      <c r="Y133" s="172">
        <v>10.5</v>
      </c>
      <c r="Z133" s="172">
        <v>9.5</v>
      </c>
      <c r="AA133" s="172">
        <v>10.7</v>
      </c>
      <c r="AB133" s="172">
        <v>9.6999999999999993</v>
      </c>
      <c r="AC133" s="172">
        <f>AB133*($AC$131/$AB$131)</f>
        <v>3.5596330275229353</v>
      </c>
      <c r="AD133" s="172">
        <v>0.33</v>
      </c>
      <c r="AE133" s="172">
        <v>0.10100000000000001</v>
      </c>
      <c r="AF133" s="170">
        <v>61</v>
      </c>
      <c r="AG133" s="170">
        <v>9.1</v>
      </c>
      <c r="AH133" s="170">
        <v>0.32</v>
      </c>
      <c r="AI133" s="170">
        <v>61.143962049999999</v>
      </c>
      <c r="AJ133" s="170">
        <v>-3.7517017400000001</v>
      </c>
      <c r="AK133" s="170">
        <v>0.21969787299999999</v>
      </c>
      <c r="AL133" s="170">
        <v>-6.60817E-3</v>
      </c>
      <c r="AM133" s="170">
        <v>8.7009999999999995E-5</v>
      </c>
      <c r="AN133" s="170">
        <f>-4.0838*10^-7</f>
        <v>-4.0838000000000001E-7</v>
      </c>
      <c r="AO133" s="171">
        <v>4</v>
      </c>
      <c r="AP133" s="171">
        <v>4</v>
      </c>
      <c r="AQ133" s="171">
        <v>6</v>
      </c>
      <c r="AR133" s="171">
        <v>5</v>
      </c>
      <c r="AS133" s="171">
        <v>5</v>
      </c>
      <c r="AT133" s="171">
        <v>5</v>
      </c>
      <c r="AU133" s="171" t="s">
        <v>183</v>
      </c>
      <c r="AV133" s="179">
        <v>13</v>
      </c>
      <c r="AW133" s="179">
        <v>19</v>
      </c>
      <c r="AX133" s="179"/>
      <c r="AY133" s="179">
        <v>50</v>
      </c>
      <c r="AZ133" s="179">
        <v>15</v>
      </c>
      <c r="BC133" s="179"/>
      <c r="BD133" s="179"/>
      <c r="BE133" s="179"/>
      <c r="BF133" s="179"/>
      <c r="BG133" s="179"/>
      <c r="BH133" s="179"/>
      <c r="BI133" s="179"/>
      <c r="BJ133" s="179"/>
      <c r="BK133" s="179"/>
      <c r="BL133" s="181"/>
      <c r="BM133" s="181"/>
    </row>
    <row r="134" spans="1:65">
      <c r="A134" s="173" t="s">
        <v>166</v>
      </c>
      <c r="B134" s="173">
        <v>2024</v>
      </c>
      <c r="C134" s="175">
        <v>128</v>
      </c>
      <c r="E134" s="173" t="s">
        <v>184</v>
      </c>
      <c r="F134" s="173" t="s">
        <v>195</v>
      </c>
      <c r="G134" s="173" t="s">
        <v>187</v>
      </c>
      <c r="H134" s="173" t="s">
        <v>194</v>
      </c>
      <c r="I134" s="173" t="s">
        <v>190</v>
      </c>
      <c r="J134" s="172">
        <v>60</v>
      </c>
      <c r="K134" s="172">
        <v>59</v>
      </c>
      <c r="M134" s="172">
        <v>44</v>
      </c>
      <c r="N134" s="172">
        <v>39</v>
      </c>
      <c r="P134" s="172">
        <v>36</v>
      </c>
      <c r="Q134" s="172">
        <v>42</v>
      </c>
      <c r="S134" s="172">
        <v>37</v>
      </c>
      <c r="T134" s="172">
        <v>97</v>
      </c>
      <c r="U134" s="172">
        <v>121</v>
      </c>
      <c r="V134" s="172">
        <v>68</v>
      </c>
      <c r="W134" s="172">
        <v>82</v>
      </c>
      <c r="X134" s="172">
        <v>10</v>
      </c>
      <c r="Y134" s="172">
        <v>10.5</v>
      </c>
      <c r="Z134" s="172">
        <v>9.5</v>
      </c>
      <c r="AA134" s="172">
        <v>10.7</v>
      </c>
      <c r="AB134" s="172">
        <v>9.6999999999999993</v>
      </c>
      <c r="AC134" s="172">
        <f>AB134*($AC$131/$AB$131)</f>
        <v>3.5596330275229353</v>
      </c>
      <c r="AD134" s="172">
        <v>0.33</v>
      </c>
      <c r="AE134" s="172">
        <v>0.10100000000000001</v>
      </c>
      <c r="AF134" s="170">
        <v>61</v>
      </c>
      <c r="AG134" s="170">
        <v>9.1</v>
      </c>
      <c r="AH134" s="170">
        <v>0.32</v>
      </c>
      <c r="AI134" s="170">
        <v>61.143962049999999</v>
      </c>
      <c r="AJ134" s="170">
        <v>-3.7517017400000001</v>
      </c>
      <c r="AK134" s="170">
        <v>0.21969787299999999</v>
      </c>
      <c r="AL134" s="170">
        <v>-6.60817E-3</v>
      </c>
      <c r="AM134" s="170">
        <v>8.7009999999999995E-5</v>
      </c>
      <c r="AN134" s="170">
        <f>-4.0838*10^-7</f>
        <v>-4.0838000000000001E-7</v>
      </c>
      <c r="AO134" s="171">
        <v>4</v>
      </c>
      <c r="AP134" s="171">
        <v>4</v>
      </c>
      <c r="AQ134" s="171">
        <v>6</v>
      </c>
      <c r="AR134" s="171">
        <v>5</v>
      </c>
      <c r="AS134" s="171">
        <v>5</v>
      </c>
      <c r="AT134" s="171">
        <v>5</v>
      </c>
      <c r="AU134" s="171" t="s">
        <v>183</v>
      </c>
      <c r="AV134" s="179">
        <v>13</v>
      </c>
      <c r="AW134" s="179">
        <v>19</v>
      </c>
      <c r="AX134" s="179"/>
      <c r="AY134" s="179">
        <v>50</v>
      </c>
      <c r="AZ134" s="179">
        <v>15</v>
      </c>
      <c r="BC134" s="179"/>
      <c r="BD134" s="179"/>
      <c r="BE134" s="179"/>
      <c r="BF134" s="179"/>
      <c r="BG134" s="179"/>
      <c r="BH134" s="179"/>
      <c r="BI134" s="179"/>
      <c r="BJ134" s="179"/>
      <c r="BK134" s="179"/>
      <c r="BL134" s="181"/>
      <c r="BM134" s="181"/>
    </row>
    <row r="135" spans="1:65">
      <c r="A135" s="173" t="s">
        <v>166</v>
      </c>
      <c r="B135" s="173">
        <v>2024</v>
      </c>
      <c r="C135" s="175">
        <v>129</v>
      </c>
      <c r="E135" s="173" t="s">
        <v>184</v>
      </c>
      <c r="F135" s="173" t="s">
        <v>195</v>
      </c>
      <c r="G135" s="173" t="s">
        <v>187</v>
      </c>
      <c r="H135" s="173" t="s">
        <v>194</v>
      </c>
      <c r="I135" s="173" t="s">
        <v>196</v>
      </c>
      <c r="J135" s="172">
        <v>62</v>
      </c>
      <c r="K135" s="172">
        <v>61</v>
      </c>
      <c r="M135" s="172">
        <v>45</v>
      </c>
      <c r="N135" s="172">
        <v>40</v>
      </c>
      <c r="P135" s="172">
        <v>37</v>
      </c>
      <c r="Q135" s="172">
        <v>43</v>
      </c>
      <c r="S135" s="172">
        <v>38</v>
      </c>
      <c r="T135" s="172">
        <v>101</v>
      </c>
      <c r="U135" s="172">
        <v>125</v>
      </c>
      <c r="V135" s="172">
        <v>70</v>
      </c>
      <c r="W135" s="172">
        <v>84</v>
      </c>
      <c r="X135" s="172">
        <v>15</v>
      </c>
      <c r="Y135" s="172">
        <v>10.5</v>
      </c>
      <c r="Z135" s="172">
        <v>10</v>
      </c>
      <c r="AA135" s="172">
        <v>10.7</v>
      </c>
      <c r="AB135" s="172">
        <v>10.199999999999999</v>
      </c>
      <c r="AC135" s="172">
        <f>AB135*($AC$131/$AB$131)</f>
        <v>3.7431192660550452</v>
      </c>
      <c r="AD135" s="172">
        <v>0.33</v>
      </c>
      <c r="AE135" s="172">
        <v>0.10100000000000001</v>
      </c>
      <c r="AO135" s="171">
        <v>4</v>
      </c>
      <c r="AP135" s="171">
        <v>4</v>
      </c>
      <c r="AQ135" s="171">
        <v>6</v>
      </c>
      <c r="AR135" s="171">
        <v>5</v>
      </c>
      <c r="AS135" s="171">
        <v>5</v>
      </c>
      <c r="AT135" s="171">
        <v>5</v>
      </c>
      <c r="AV135" s="179">
        <v>13</v>
      </c>
      <c r="AW135" s="179">
        <v>19</v>
      </c>
      <c r="AX135" s="179"/>
      <c r="AY135" s="179">
        <v>50</v>
      </c>
      <c r="AZ135" s="179">
        <v>15</v>
      </c>
      <c r="BC135" s="179"/>
      <c r="BD135" s="179"/>
      <c r="BE135" s="179"/>
      <c r="BF135" s="179"/>
      <c r="BG135" s="179"/>
      <c r="BH135" s="179"/>
      <c r="BI135" s="179"/>
      <c r="BJ135" s="179"/>
      <c r="BK135" s="179"/>
      <c r="BL135" s="181"/>
      <c r="BM135" s="181"/>
    </row>
    <row r="136" spans="1:65">
      <c r="A136" s="173" t="s">
        <v>166</v>
      </c>
      <c r="B136" s="173">
        <v>2024</v>
      </c>
      <c r="C136" s="175">
        <v>130</v>
      </c>
      <c r="E136" s="173" t="s">
        <v>184</v>
      </c>
      <c r="F136" s="173" t="s">
        <v>195</v>
      </c>
      <c r="G136" s="173" t="s">
        <v>187</v>
      </c>
      <c r="H136" s="173" t="s">
        <v>194</v>
      </c>
      <c r="I136" s="173" t="s">
        <v>193</v>
      </c>
      <c r="J136" s="172">
        <v>63</v>
      </c>
      <c r="K136" s="172">
        <v>62</v>
      </c>
      <c r="M136" s="172">
        <v>45</v>
      </c>
      <c r="N136" s="172">
        <v>40</v>
      </c>
      <c r="P136" s="172">
        <v>37</v>
      </c>
      <c r="Q136" s="172">
        <v>43</v>
      </c>
      <c r="S136" s="172">
        <v>39</v>
      </c>
      <c r="T136" s="172">
        <v>102</v>
      </c>
      <c r="U136" s="172">
        <v>127</v>
      </c>
      <c r="V136" s="172">
        <v>70</v>
      </c>
      <c r="W136" s="172">
        <v>84</v>
      </c>
      <c r="X136" s="172">
        <v>15</v>
      </c>
      <c r="Y136" s="172">
        <v>10.5</v>
      </c>
      <c r="Z136" s="172">
        <v>10</v>
      </c>
      <c r="AA136" s="172">
        <v>10.7</v>
      </c>
      <c r="AB136" s="172">
        <v>10.199999999999999</v>
      </c>
      <c r="AC136" s="172">
        <f>AB136*($AC$131/$AB$131)</f>
        <v>3.7431192660550452</v>
      </c>
      <c r="AD136" s="172">
        <v>0.33</v>
      </c>
      <c r="AE136" s="172">
        <v>0.10100000000000001</v>
      </c>
      <c r="AO136" s="171">
        <v>4</v>
      </c>
      <c r="AP136" s="171">
        <v>4</v>
      </c>
      <c r="AQ136" s="171">
        <v>6</v>
      </c>
      <c r="AR136" s="171">
        <v>5</v>
      </c>
      <c r="AS136" s="171">
        <v>5</v>
      </c>
      <c r="AT136" s="171">
        <v>5</v>
      </c>
      <c r="AV136" s="179">
        <v>13</v>
      </c>
      <c r="AW136" s="179">
        <v>19</v>
      </c>
      <c r="AX136" s="179"/>
      <c r="AY136" s="179">
        <v>50</v>
      </c>
      <c r="AZ136" s="179">
        <v>15</v>
      </c>
      <c r="BC136" s="179"/>
      <c r="BD136" s="179"/>
      <c r="BE136" s="179"/>
      <c r="BF136" s="179"/>
      <c r="BG136" s="179"/>
      <c r="BH136" s="179"/>
      <c r="BI136" s="179"/>
      <c r="BJ136" s="179"/>
      <c r="BK136" s="179"/>
      <c r="BL136" s="181"/>
      <c r="BM136" s="181"/>
    </row>
    <row r="137" spans="1:65">
      <c r="A137" s="173" t="s">
        <v>166</v>
      </c>
      <c r="B137" s="173">
        <v>2024</v>
      </c>
      <c r="C137" s="175">
        <v>131</v>
      </c>
      <c r="D137" s="177"/>
      <c r="E137" s="173" t="s">
        <v>184</v>
      </c>
      <c r="F137" s="173" t="s">
        <v>192</v>
      </c>
      <c r="G137" s="173" t="s">
        <v>29</v>
      </c>
      <c r="AO137" s="171">
        <v>4</v>
      </c>
      <c r="AP137" s="171">
        <v>4</v>
      </c>
      <c r="AQ137" s="171">
        <v>6</v>
      </c>
      <c r="AR137" s="171"/>
      <c r="AS137" s="171"/>
      <c r="AT137" s="171"/>
      <c r="BC137" s="179"/>
      <c r="BD137" s="179"/>
      <c r="BE137" s="179"/>
      <c r="BF137" s="179"/>
      <c r="BG137" s="179"/>
      <c r="BH137" s="179"/>
      <c r="BI137" s="179"/>
      <c r="BJ137" s="179"/>
      <c r="BK137" s="179"/>
      <c r="BL137" s="181"/>
      <c r="BM137" s="181"/>
    </row>
    <row r="138" spans="1:65">
      <c r="A138" s="173" t="s">
        <v>166</v>
      </c>
      <c r="B138" s="173">
        <v>2024</v>
      </c>
      <c r="C138" s="175">
        <v>132</v>
      </c>
      <c r="E138" s="173" t="s">
        <v>184</v>
      </c>
      <c r="F138" s="173" t="s">
        <v>188</v>
      </c>
      <c r="G138" s="173" t="s">
        <v>187</v>
      </c>
      <c r="H138" s="173" t="s">
        <v>186</v>
      </c>
      <c r="I138" s="173" t="s">
        <v>191</v>
      </c>
      <c r="J138" s="172">
        <v>55</v>
      </c>
      <c r="K138" s="172">
        <v>55</v>
      </c>
      <c r="M138" s="172">
        <v>34</v>
      </c>
      <c r="N138" s="172">
        <v>34</v>
      </c>
      <c r="P138" s="172">
        <v>34</v>
      </c>
      <c r="Q138" s="172">
        <v>34</v>
      </c>
      <c r="S138" s="172">
        <v>33</v>
      </c>
      <c r="T138" s="172">
        <v>83</v>
      </c>
      <c r="U138" s="172">
        <v>104</v>
      </c>
      <c r="V138" s="172">
        <v>48</v>
      </c>
      <c r="W138" s="172">
        <v>54</v>
      </c>
      <c r="X138" s="172">
        <v>10</v>
      </c>
      <c r="Y138" s="172">
        <v>10.5</v>
      </c>
      <c r="Z138" s="172">
        <v>9.5</v>
      </c>
      <c r="AA138" s="172">
        <v>10.7</v>
      </c>
      <c r="AB138" s="172">
        <v>9.6999999999999993</v>
      </c>
      <c r="AC138" s="172">
        <f t="shared" ref="AC138:AC144" si="2">AB138*($AC$131/$AB$131)</f>
        <v>3.5596330275229353</v>
      </c>
      <c r="AD138" s="172">
        <v>0.33</v>
      </c>
      <c r="AE138" s="172">
        <v>0.10100000000000001</v>
      </c>
      <c r="AF138" s="170">
        <v>58</v>
      </c>
      <c r="AG138" s="170">
        <v>9.1</v>
      </c>
      <c r="AH138" s="170">
        <v>0.32</v>
      </c>
      <c r="AI138" s="170">
        <v>56.871883410000002</v>
      </c>
      <c r="AJ138" s="170">
        <v>-4.4309286999999999</v>
      </c>
      <c r="AK138" s="170">
        <v>0.32697766</v>
      </c>
      <c r="AL138" s="170">
        <v>-1.132559E-2</v>
      </c>
      <c r="AM138" s="170">
        <v>1.7132200000000001E-4</v>
      </c>
      <c r="AN138" s="170">
        <f>-9.4306*10^-7</f>
        <v>-9.4305999999999998E-7</v>
      </c>
      <c r="AO138" s="171"/>
      <c r="AP138" s="171"/>
      <c r="AQ138" s="171"/>
      <c r="AR138" s="171"/>
      <c r="AS138" s="171"/>
      <c r="AT138" s="171"/>
      <c r="AU138" s="171" t="s">
        <v>183</v>
      </c>
      <c r="AV138" s="179">
        <v>17</v>
      </c>
      <c r="AW138" s="179">
        <v>17</v>
      </c>
      <c r="AX138" s="179"/>
      <c r="AY138" s="179">
        <v>23</v>
      </c>
      <c r="AZ138" s="179">
        <v>19</v>
      </c>
      <c r="BC138" s="179"/>
      <c r="BE138" s="179"/>
      <c r="BF138" s="179"/>
      <c r="BG138" s="179"/>
      <c r="BH138" s="179"/>
      <c r="BI138" s="179"/>
      <c r="BJ138" s="179"/>
      <c r="BK138" s="179"/>
      <c r="BL138" s="181"/>
      <c r="BM138" s="181"/>
    </row>
    <row r="139" spans="1:65">
      <c r="A139" s="173" t="s">
        <v>166</v>
      </c>
      <c r="B139" s="173">
        <v>2024</v>
      </c>
      <c r="C139" s="175">
        <v>133</v>
      </c>
      <c r="E139" s="173" t="s">
        <v>184</v>
      </c>
      <c r="F139" s="173" t="s">
        <v>188</v>
      </c>
      <c r="G139" s="173" t="s">
        <v>187</v>
      </c>
      <c r="H139" s="173" t="s">
        <v>186</v>
      </c>
      <c r="I139" s="173" t="s">
        <v>190</v>
      </c>
      <c r="J139" s="172">
        <v>57</v>
      </c>
      <c r="K139" s="172">
        <v>57</v>
      </c>
      <c r="M139" s="172">
        <v>34</v>
      </c>
      <c r="N139" s="172">
        <v>34</v>
      </c>
      <c r="P139" s="172">
        <v>34</v>
      </c>
      <c r="Q139" s="172">
        <v>34</v>
      </c>
      <c r="S139" s="172">
        <v>34</v>
      </c>
      <c r="T139" s="172">
        <v>86</v>
      </c>
      <c r="U139" s="172">
        <v>108</v>
      </c>
      <c r="V139" s="172">
        <v>48</v>
      </c>
      <c r="W139" s="172">
        <v>54</v>
      </c>
      <c r="X139" s="172">
        <v>15</v>
      </c>
      <c r="Y139" s="172">
        <v>10.5</v>
      </c>
      <c r="Z139" s="172">
        <v>9.5</v>
      </c>
      <c r="AA139" s="172">
        <v>10.7</v>
      </c>
      <c r="AB139" s="172">
        <v>9.6999999999999993</v>
      </c>
      <c r="AC139" s="172">
        <f t="shared" si="2"/>
        <v>3.5596330275229353</v>
      </c>
      <c r="AD139" s="172">
        <v>0.33</v>
      </c>
      <c r="AE139" s="172">
        <v>0.10100000000000001</v>
      </c>
      <c r="AF139" s="170">
        <v>58</v>
      </c>
      <c r="AG139" s="170">
        <v>9.1</v>
      </c>
      <c r="AH139" s="170">
        <v>0.32</v>
      </c>
      <c r="AI139" s="170">
        <v>56.871883410000002</v>
      </c>
      <c r="AJ139" s="170">
        <v>-4.4309286999999999</v>
      </c>
      <c r="AK139" s="170">
        <v>0.32697766</v>
      </c>
      <c r="AL139" s="170">
        <v>-1.132559E-2</v>
      </c>
      <c r="AM139" s="170">
        <v>1.7132200000000001E-4</v>
      </c>
      <c r="AN139" s="170">
        <f>-9.4306*10^-7</f>
        <v>-9.4305999999999998E-7</v>
      </c>
      <c r="AO139" s="171"/>
      <c r="AP139" s="171"/>
      <c r="AQ139" s="171"/>
      <c r="AR139" s="171"/>
      <c r="AS139" s="171"/>
      <c r="AT139" s="171"/>
      <c r="AU139" s="171" t="s">
        <v>183</v>
      </c>
      <c r="AV139" s="179">
        <v>17</v>
      </c>
      <c r="AW139" s="179">
        <v>17</v>
      </c>
      <c r="AX139" s="179"/>
      <c r="AY139" s="179">
        <v>23</v>
      </c>
      <c r="AZ139" s="179">
        <v>19</v>
      </c>
      <c r="BC139" s="179"/>
      <c r="BD139" s="179"/>
      <c r="BE139" s="179"/>
      <c r="BF139" s="179"/>
      <c r="BH139" s="179"/>
      <c r="BI139" s="179"/>
      <c r="BJ139" s="179"/>
      <c r="BK139" s="179"/>
      <c r="BL139" s="181"/>
      <c r="BM139" s="181"/>
    </row>
    <row r="140" spans="1:65">
      <c r="A140" s="173" t="s">
        <v>166</v>
      </c>
      <c r="B140" s="173">
        <v>2024</v>
      </c>
      <c r="C140" s="175">
        <v>134</v>
      </c>
      <c r="E140" s="173" t="s">
        <v>184</v>
      </c>
      <c r="F140" s="173" t="s">
        <v>188</v>
      </c>
      <c r="G140" s="173" t="s">
        <v>187</v>
      </c>
      <c r="H140" s="173" t="s">
        <v>186</v>
      </c>
      <c r="I140" s="173" t="s">
        <v>189</v>
      </c>
      <c r="J140" s="172">
        <v>60</v>
      </c>
      <c r="K140" s="172">
        <v>60</v>
      </c>
      <c r="M140" s="172">
        <v>36</v>
      </c>
      <c r="N140" s="172">
        <v>36</v>
      </c>
      <c r="P140" s="172">
        <v>36</v>
      </c>
      <c r="Q140" s="172">
        <v>36</v>
      </c>
      <c r="S140" s="172">
        <v>36</v>
      </c>
      <c r="T140" s="172">
        <v>90</v>
      </c>
      <c r="U140" s="172">
        <v>114</v>
      </c>
      <c r="V140" s="172">
        <v>50</v>
      </c>
      <c r="W140" s="172">
        <v>58</v>
      </c>
      <c r="X140" s="172">
        <v>15</v>
      </c>
      <c r="Y140" s="172">
        <v>10.5</v>
      </c>
      <c r="Z140" s="172">
        <v>10</v>
      </c>
      <c r="AA140" s="172">
        <v>10.7</v>
      </c>
      <c r="AB140" s="172">
        <v>10.199999999999999</v>
      </c>
      <c r="AC140" s="172">
        <f t="shared" si="2"/>
        <v>3.7431192660550452</v>
      </c>
      <c r="AD140" s="172">
        <v>0.33</v>
      </c>
      <c r="AE140" s="172">
        <v>0.10100000000000001</v>
      </c>
      <c r="AO140" s="171"/>
      <c r="AP140" s="171"/>
      <c r="AQ140" s="171"/>
      <c r="AR140" s="171"/>
      <c r="AS140" s="171"/>
      <c r="AT140" s="171"/>
      <c r="AV140" s="179">
        <v>17</v>
      </c>
      <c r="AW140" s="179">
        <v>17</v>
      </c>
      <c r="AX140" s="179"/>
      <c r="AY140" s="179">
        <v>23</v>
      </c>
      <c r="AZ140" s="179">
        <v>19</v>
      </c>
      <c r="BC140" s="179"/>
      <c r="BD140" s="179"/>
      <c r="BE140" s="179"/>
      <c r="BF140" s="179"/>
      <c r="BG140" s="179"/>
      <c r="BH140" s="179"/>
      <c r="BI140" s="179"/>
      <c r="BJ140" s="179"/>
      <c r="BK140" s="179"/>
      <c r="BL140" s="181"/>
      <c r="BM140" s="181"/>
    </row>
    <row r="141" spans="1:65">
      <c r="A141" s="173" t="s">
        <v>166</v>
      </c>
      <c r="B141" s="173">
        <v>2024</v>
      </c>
      <c r="C141" s="175">
        <v>135</v>
      </c>
      <c r="E141" s="173" t="s">
        <v>184</v>
      </c>
      <c r="F141" s="173" t="s">
        <v>188</v>
      </c>
      <c r="G141" s="173" t="s">
        <v>187</v>
      </c>
      <c r="H141" s="173" t="s">
        <v>186</v>
      </c>
      <c r="I141" s="173" t="s">
        <v>172</v>
      </c>
      <c r="J141" s="178">
        <v>59</v>
      </c>
      <c r="K141" s="172">
        <v>60</v>
      </c>
      <c r="M141" s="172">
        <v>36</v>
      </c>
      <c r="N141" s="172">
        <v>36</v>
      </c>
      <c r="P141" s="178">
        <v>37</v>
      </c>
      <c r="Q141" s="178">
        <v>38</v>
      </c>
      <c r="S141" s="178">
        <v>35</v>
      </c>
      <c r="T141" s="178">
        <v>85</v>
      </c>
      <c r="U141" s="178">
        <v>105</v>
      </c>
      <c r="V141" s="178">
        <v>60</v>
      </c>
      <c r="W141" s="178">
        <v>71</v>
      </c>
      <c r="X141" s="178">
        <v>12</v>
      </c>
      <c r="Y141" s="172">
        <v>10.7</v>
      </c>
      <c r="Z141" s="172">
        <v>10.199999999999999</v>
      </c>
      <c r="AA141" s="172">
        <v>10.9</v>
      </c>
      <c r="AB141" s="172">
        <v>10.4</v>
      </c>
      <c r="AC141" s="172">
        <f t="shared" si="2"/>
        <v>3.8165137614678897</v>
      </c>
      <c r="AD141" s="172">
        <v>0.33</v>
      </c>
      <c r="AE141" s="172">
        <v>0.10100000000000001</v>
      </c>
      <c r="AO141" s="171"/>
      <c r="AP141" s="171"/>
      <c r="AQ141" s="171"/>
      <c r="AR141" s="171"/>
      <c r="AS141" s="171"/>
      <c r="AT141" s="171"/>
      <c r="AU141" s="171" t="s">
        <v>183</v>
      </c>
      <c r="AV141" s="179">
        <v>17</v>
      </c>
      <c r="AW141" s="179">
        <v>17</v>
      </c>
      <c r="AX141" s="179"/>
      <c r="AY141" s="179">
        <v>23</v>
      </c>
      <c r="AZ141" s="179">
        <v>19</v>
      </c>
      <c r="BC141" s="179"/>
      <c r="BD141" s="179"/>
      <c r="BE141" s="179"/>
      <c r="BF141" s="179"/>
      <c r="BG141" s="179"/>
      <c r="BH141" s="179"/>
      <c r="BI141" s="179"/>
      <c r="BJ141" s="179"/>
      <c r="BK141" s="179"/>
      <c r="BL141" s="181"/>
      <c r="BM141" s="181"/>
    </row>
    <row r="142" spans="1:65">
      <c r="A142" s="173" t="s">
        <v>166</v>
      </c>
      <c r="B142" s="173">
        <v>2024</v>
      </c>
      <c r="C142" s="175">
        <v>136</v>
      </c>
      <c r="E142" s="173" t="s">
        <v>184</v>
      </c>
      <c r="F142" s="173" t="s">
        <v>188</v>
      </c>
      <c r="G142" s="173" t="s">
        <v>187</v>
      </c>
      <c r="H142" s="173" t="s">
        <v>186</v>
      </c>
      <c r="I142" s="173" t="s">
        <v>171</v>
      </c>
      <c r="J142" s="178">
        <v>58</v>
      </c>
      <c r="K142" s="172">
        <v>59</v>
      </c>
      <c r="M142" s="172">
        <v>36</v>
      </c>
      <c r="N142" s="172">
        <v>36</v>
      </c>
      <c r="P142" s="178">
        <v>37</v>
      </c>
      <c r="Q142" s="178">
        <v>38</v>
      </c>
      <c r="S142" s="172">
        <v>35</v>
      </c>
      <c r="T142" s="178">
        <v>83</v>
      </c>
      <c r="U142" s="178">
        <v>103</v>
      </c>
      <c r="V142" s="178">
        <v>60</v>
      </c>
      <c r="W142" s="178">
        <v>71</v>
      </c>
      <c r="X142" s="172">
        <v>8</v>
      </c>
      <c r="Y142" s="172">
        <v>10.7</v>
      </c>
      <c r="Z142" s="172">
        <v>10.199999999999999</v>
      </c>
      <c r="AA142" s="172">
        <v>10.9</v>
      </c>
      <c r="AB142" s="172">
        <v>10.4</v>
      </c>
      <c r="AC142" s="172">
        <f t="shared" si="2"/>
        <v>3.8165137614678897</v>
      </c>
      <c r="AD142" s="172">
        <v>0.33</v>
      </c>
      <c r="AE142" s="172">
        <v>0.10100000000000001</v>
      </c>
      <c r="AO142" s="171"/>
      <c r="AP142" s="171"/>
      <c r="AQ142" s="171"/>
      <c r="AR142" s="171"/>
      <c r="AS142" s="171"/>
      <c r="AT142" s="171"/>
      <c r="AU142" s="171" t="s">
        <v>183</v>
      </c>
      <c r="AV142" s="179">
        <v>17</v>
      </c>
      <c r="AW142" s="179">
        <v>17</v>
      </c>
      <c r="AX142" s="179"/>
      <c r="AY142" s="179">
        <v>23</v>
      </c>
      <c r="AZ142" s="179">
        <v>19</v>
      </c>
      <c r="BC142" s="179"/>
      <c r="BD142" s="179"/>
      <c r="BE142" s="179"/>
      <c r="BF142" s="179"/>
      <c r="BG142" s="179"/>
      <c r="BH142" s="179"/>
      <c r="BI142" s="179"/>
      <c r="BJ142" s="179"/>
      <c r="BK142" s="179"/>
      <c r="BL142" s="181"/>
      <c r="BM142" s="181"/>
    </row>
    <row r="143" spans="1:65">
      <c r="A143" s="173" t="s">
        <v>166</v>
      </c>
      <c r="B143" s="173">
        <v>2024</v>
      </c>
      <c r="C143" s="175">
        <v>137</v>
      </c>
      <c r="E143" s="173" t="s">
        <v>184</v>
      </c>
      <c r="F143" s="173" t="s">
        <v>188</v>
      </c>
      <c r="G143" s="173" t="s">
        <v>187</v>
      </c>
      <c r="H143" s="173" t="s">
        <v>186</v>
      </c>
      <c r="I143" s="173" t="s">
        <v>170</v>
      </c>
      <c r="J143" s="178">
        <v>57</v>
      </c>
      <c r="K143" s="172">
        <v>58</v>
      </c>
      <c r="M143" s="172">
        <v>36</v>
      </c>
      <c r="N143" s="172">
        <v>36</v>
      </c>
      <c r="P143" s="178">
        <v>37</v>
      </c>
      <c r="Q143" s="178">
        <v>38</v>
      </c>
      <c r="S143" s="178">
        <v>34</v>
      </c>
      <c r="T143" s="178">
        <v>82</v>
      </c>
      <c r="U143" s="178">
        <v>101</v>
      </c>
      <c r="V143" s="178">
        <v>60</v>
      </c>
      <c r="W143" s="178">
        <v>71</v>
      </c>
      <c r="Y143" s="172">
        <v>10.7</v>
      </c>
      <c r="Z143" s="172">
        <v>10.199999999999999</v>
      </c>
      <c r="AA143" s="172">
        <v>10.9</v>
      </c>
      <c r="AB143" s="172">
        <v>10.4</v>
      </c>
      <c r="AC143" s="172">
        <f t="shared" si="2"/>
        <v>3.8165137614678897</v>
      </c>
      <c r="AD143" s="172">
        <v>0.33</v>
      </c>
      <c r="AE143" s="172">
        <v>0.10100000000000001</v>
      </c>
      <c r="AO143" s="171"/>
      <c r="AP143" s="171"/>
      <c r="AQ143" s="171"/>
      <c r="AR143" s="171"/>
      <c r="AS143" s="171"/>
      <c r="AT143" s="171"/>
      <c r="AU143" s="171" t="s">
        <v>183</v>
      </c>
      <c r="AV143" s="179">
        <v>17</v>
      </c>
      <c r="AW143" s="179">
        <v>17</v>
      </c>
      <c r="AX143" s="179"/>
      <c r="AY143" s="179">
        <v>23</v>
      </c>
      <c r="AZ143" s="179">
        <v>19</v>
      </c>
      <c r="BC143" s="179"/>
      <c r="BD143" s="179"/>
      <c r="BE143" s="179"/>
      <c r="BF143" s="179"/>
      <c r="BG143" s="179"/>
      <c r="BH143" s="179"/>
      <c r="BI143" s="179"/>
      <c r="BJ143" s="179"/>
      <c r="BK143" s="179"/>
      <c r="BL143" s="181"/>
      <c r="BM143" s="181"/>
    </row>
    <row r="144" spans="1:65">
      <c r="A144" s="173" t="s">
        <v>166</v>
      </c>
      <c r="B144" s="173">
        <v>2024</v>
      </c>
      <c r="C144" s="175">
        <v>138</v>
      </c>
      <c r="E144" s="173" t="s">
        <v>184</v>
      </c>
      <c r="F144" s="173" t="s">
        <v>188</v>
      </c>
      <c r="G144" s="173" t="s">
        <v>187</v>
      </c>
      <c r="H144" s="173" t="s">
        <v>186</v>
      </c>
      <c r="I144" s="173" t="s">
        <v>185</v>
      </c>
      <c r="K144" s="172">
        <v>56</v>
      </c>
      <c r="N144" s="172">
        <v>36</v>
      </c>
      <c r="P144" s="172" t="s">
        <v>29</v>
      </c>
      <c r="Q144" s="172" t="s">
        <v>29</v>
      </c>
      <c r="S144" s="172" t="s">
        <v>29</v>
      </c>
      <c r="T144" s="172" t="s">
        <v>29</v>
      </c>
      <c r="U144" s="172" t="s">
        <v>29</v>
      </c>
      <c r="V144" s="172" t="s">
        <v>29</v>
      </c>
      <c r="W144" s="172" t="s">
        <v>29</v>
      </c>
      <c r="X144" s="172">
        <v>4</v>
      </c>
      <c r="Y144" s="172">
        <v>10.7</v>
      </c>
      <c r="Z144" s="172">
        <v>10.199999999999999</v>
      </c>
      <c r="AA144" s="172">
        <v>10.9</v>
      </c>
      <c r="AB144" s="172">
        <v>10.4</v>
      </c>
      <c r="AC144" s="172">
        <f t="shared" si="2"/>
        <v>3.8165137614678897</v>
      </c>
      <c r="AD144" s="172">
        <v>0.33</v>
      </c>
      <c r="AE144" s="172">
        <v>0.10100000000000001</v>
      </c>
      <c r="AO144" s="171"/>
      <c r="AP144" s="171"/>
      <c r="AQ144" s="171"/>
      <c r="AR144" s="171"/>
      <c r="AS144" s="171"/>
      <c r="AT144" s="171"/>
      <c r="AU144" s="171" t="s">
        <v>183</v>
      </c>
      <c r="AV144" s="179">
        <v>17</v>
      </c>
      <c r="AW144" s="179">
        <v>17</v>
      </c>
      <c r="AX144" s="179"/>
      <c r="AY144" s="179">
        <v>23</v>
      </c>
      <c r="AZ144" s="179">
        <v>19</v>
      </c>
    </row>
    <row r="145" spans="1:52" s="170" customFormat="1">
      <c r="A145" s="173" t="s">
        <v>166</v>
      </c>
      <c r="B145" s="173">
        <v>2024</v>
      </c>
      <c r="C145" s="175">
        <v>139</v>
      </c>
      <c r="D145" s="177"/>
      <c r="E145" s="173" t="s">
        <v>184</v>
      </c>
      <c r="F145" s="173" t="s">
        <v>182</v>
      </c>
      <c r="G145" s="173" t="s">
        <v>29</v>
      </c>
      <c r="H145" s="173"/>
      <c r="I145" s="173"/>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O145" s="171">
        <v>3</v>
      </c>
      <c r="AP145" s="171">
        <v>3</v>
      </c>
      <c r="AQ145" s="171">
        <v>6</v>
      </c>
      <c r="AR145" s="171">
        <v>12</v>
      </c>
      <c r="AS145" s="171">
        <v>12</v>
      </c>
      <c r="AT145" s="171">
        <v>12</v>
      </c>
      <c r="AU145" s="171"/>
      <c r="AV145" s="171"/>
      <c r="AW145" s="171"/>
      <c r="AX145" s="171"/>
      <c r="AY145" s="171"/>
      <c r="AZ145" s="171"/>
    </row>
    <row r="146" spans="1:52" s="170" customFormat="1">
      <c r="A146" s="173" t="s">
        <v>166</v>
      </c>
      <c r="B146" s="173">
        <v>7075</v>
      </c>
      <c r="C146" s="175">
        <v>140</v>
      </c>
      <c r="D146" s="174"/>
      <c r="E146" s="173" t="s">
        <v>165</v>
      </c>
      <c r="F146" s="173" t="s">
        <v>182</v>
      </c>
      <c r="G146" s="173" t="s">
        <v>181</v>
      </c>
      <c r="H146" s="173" t="s">
        <v>180</v>
      </c>
      <c r="I146" s="173" t="s">
        <v>179</v>
      </c>
      <c r="J146" s="172"/>
      <c r="K146" s="172">
        <v>68</v>
      </c>
      <c r="L146" s="172"/>
      <c r="M146" s="172"/>
      <c r="N146" s="172">
        <v>58</v>
      </c>
      <c r="O146" s="172"/>
      <c r="P146" s="172"/>
      <c r="Q146" s="172"/>
      <c r="R146" s="172"/>
      <c r="S146" s="172"/>
      <c r="T146" s="172"/>
      <c r="U146" s="172"/>
      <c r="V146" s="172"/>
      <c r="W146" s="172"/>
      <c r="X146" s="172">
        <v>5</v>
      </c>
      <c r="Y146" s="172">
        <v>10.3</v>
      </c>
      <c r="Z146" s="172">
        <v>9.5</v>
      </c>
      <c r="AA146" s="172">
        <v>10.5</v>
      </c>
      <c r="AB146" s="172">
        <v>9.6999999999999993</v>
      </c>
      <c r="AC146" s="172">
        <f t="shared" ref="AC146:AC162" si="3">AB146*($AC$131/$AB$131)</f>
        <v>3.5596330275229353</v>
      </c>
      <c r="AD146" s="172">
        <v>0.33</v>
      </c>
      <c r="AE146" s="172">
        <v>0.10100000000000001</v>
      </c>
      <c r="AF146" s="170">
        <v>73</v>
      </c>
      <c r="AG146" s="170">
        <v>9.1</v>
      </c>
      <c r="AH146" s="170">
        <v>0.32</v>
      </c>
      <c r="AI146" s="170">
        <v>84.973266949999996</v>
      </c>
      <c r="AJ146" s="170">
        <v>-2.7496888799999999</v>
      </c>
      <c r="AK146" s="170">
        <v>0.15441649700000001</v>
      </c>
      <c r="AL146" s="170">
        <v>-7.2425600000000003E-3</v>
      </c>
      <c r="AM146" s="170">
        <v>1.37866E-4</v>
      </c>
      <c r="AN146" s="170">
        <f>-8.8667*10^-7</f>
        <v>-8.8666999999999993E-7</v>
      </c>
      <c r="AO146" s="171">
        <v>1</v>
      </c>
      <c r="AP146" s="171">
        <v>1</v>
      </c>
      <c r="AQ146" s="171">
        <v>6</v>
      </c>
      <c r="AR146" s="171">
        <v>8</v>
      </c>
      <c r="AS146" s="171">
        <v>8</v>
      </c>
      <c r="AT146" s="171">
        <v>8</v>
      </c>
      <c r="AU146" s="171" t="s">
        <v>183</v>
      </c>
      <c r="AV146" s="179">
        <v>13</v>
      </c>
      <c r="AW146" s="179">
        <v>12</v>
      </c>
      <c r="AX146" s="179"/>
      <c r="AY146" s="179">
        <v>17</v>
      </c>
      <c r="AZ146" s="179">
        <v>15</v>
      </c>
    </row>
    <row r="147" spans="1:52" s="170" customFormat="1">
      <c r="A147" s="173" t="s">
        <v>166</v>
      </c>
      <c r="B147" s="173">
        <v>7075</v>
      </c>
      <c r="C147" s="175">
        <v>141</v>
      </c>
      <c r="D147" s="174"/>
      <c r="E147" s="173" t="s">
        <v>165</v>
      </c>
      <c r="F147" s="173" t="s">
        <v>182</v>
      </c>
      <c r="G147" s="173" t="s">
        <v>181</v>
      </c>
      <c r="H147" s="173" t="s">
        <v>180</v>
      </c>
      <c r="I147" s="173" t="s">
        <v>178</v>
      </c>
      <c r="J147" s="178">
        <v>71</v>
      </c>
      <c r="K147" s="178">
        <v>71</v>
      </c>
      <c r="L147" s="172"/>
      <c r="M147" s="172">
        <v>62</v>
      </c>
      <c r="N147" s="172">
        <v>60</v>
      </c>
      <c r="O147" s="172"/>
      <c r="P147" s="172">
        <v>61</v>
      </c>
      <c r="Q147" s="172">
        <v>64</v>
      </c>
      <c r="R147" s="172"/>
      <c r="S147" s="172">
        <v>42</v>
      </c>
      <c r="T147" s="178">
        <v>110</v>
      </c>
      <c r="U147" s="178">
        <v>142</v>
      </c>
      <c r="V147" s="172">
        <v>90</v>
      </c>
      <c r="W147" s="172">
        <v>105</v>
      </c>
      <c r="X147" s="178">
        <v>8</v>
      </c>
      <c r="Y147" s="172">
        <v>10.3</v>
      </c>
      <c r="Z147" s="172">
        <v>9.5</v>
      </c>
      <c r="AA147" s="172">
        <v>10.5</v>
      </c>
      <c r="AB147" s="172">
        <v>9.6999999999999993</v>
      </c>
      <c r="AC147" s="172">
        <f t="shared" si="3"/>
        <v>3.5596330275229353</v>
      </c>
      <c r="AD147" s="172">
        <v>0.33</v>
      </c>
      <c r="AE147" s="172">
        <v>0.10100000000000001</v>
      </c>
      <c r="AF147" s="170">
        <v>73</v>
      </c>
      <c r="AG147" s="170">
        <v>9.1</v>
      </c>
      <c r="AH147" s="170">
        <v>0.32</v>
      </c>
      <c r="AI147" s="170">
        <v>84.973266949999996</v>
      </c>
      <c r="AJ147" s="170">
        <v>-2.7496888799999999</v>
      </c>
      <c r="AK147" s="170">
        <v>0.15441649700000001</v>
      </c>
      <c r="AL147" s="170">
        <v>-7.2425600000000003E-3</v>
      </c>
      <c r="AM147" s="170">
        <v>1.37866E-4</v>
      </c>
      <c r="AN147" s="170">
        <f>-8.8667*10^-7</f>
        <v>-8.8666999999999993E-7</v>
      </c>
      <c r="AO147" s="171">
        <v>1</v>
      </c>
      <c r="AP147" s="171">
        <v>1</v>
      </c>
      <c r="AQ147" s="171">
        <v>6</v>
      </c>
      <c r="AR147" s="171">
        <v>8</v>
      </c>
      <c r="AS147" s="171">
        <v>8</v>
      </c>
      <c r="AT147" s="171">
        <v>8</v>
      </c>
      <c r="AU147" s="171" t="s">
        <v>183</v>
      </c>
      <c r="AV147" s="179">
        <v>13</v>
      </c>
      <c r="AW147" s="179">
        <v>12</v>
      </c>
      <c r="AX147" s="179"/>
      <c r="AY147" s="179">
        <v>17</v>
      </c>
      <c r="AZ147" s="179">
        <v>15</v>
      </c>
    </row>
    <row r="148" spans="1:52" s="170" customFormat="1">
      <c r="A148" s="173" t="s">
        <v>166</v>
      </c>
      <c r="B148" s="173">
        <v>7075</v>
      </c>
      <c r="C148" s="175">
        <v>142</v>
      </c>
      <c r="D148" s="174"/>
      <c r="E148" s="173" t="s">
        <v>165</v>
      </c>
      <c r="F148" s="173" t="s">
        <v>182</v>
      </c>
      <c r="G148" s="173" t="s">
        <v>181</v>
      </c>
      <c r="H148" s="173" t="s">
        <v>180</v>
      </c>
      <c r="I148" s="173" t="s">
        <v>177</v>
      </c>
      <c r="J148" s="178">
        <v>71</v>
      </c>
      <c r="K148" s="178">
        <v>71</v>
      </c>
      <c r="L148" s="172"/>
      <c r="M148" s="178">
        <v>63</v>
      </c>
      <c r="N148" s="178">
        <v>61</v>
      </c>
      <c r="O148" s="172"/>
      <c r="P148" s="178">
        <v>62</v>
      </c>
      <c r="Q148" s="178">
        <v>65</v>
      </c>
      <c r="R148" s="172"/>
      <c r="S148" s="178">
        <v>42</v>
      </c>
      <c r="T148" s="178">
        <v>110</v>
      </c>
      <c r="U148" s="178">
        <v>142</v>
      </c>
      <c r="V148" s="178">
        <v>91</v>
      </c>
      <c r="W148" s="178">
        <v>106</v>
      </c>
      <c r="X148" s="178">
        <v>9</v>
      </c>
      <c r="Y148" s="172">
        <v>10.3</v>
      </c>
      <c r="Z148" s="172">
        <v>9.5</v>
      </c>
      <c r="AA148" s="172">
        <v>10.5</v>
      </c>
      <c r="AB148" s="172">
        <v>9.6999999999999993</v>
      </c>
      <c r="AC148" s="172">
        <f t="shared" si="3"/>
        <v>3.5596330275229353</v>
      </c>
      <c r="AD148" s="172">
        <v>0.33</v>
      </c>
      <c r="AE148" s="172">
        <v>0.10100000000000001</v>
      </c>
      <c r="AF148" s="170">
        <v>74</v>
      </c>
      <c r="AG148" s="170">
        <v>9.1</v>
      </c>
      <c r="AH148" s="170">
        <v>0.32</v>
      </c>
      <c r="AI148" s="170">
        <v>85.890735269999993</v>
      </c>
      <c r="AJ148" s="170">
        <v>-2.6799178399999999</v>
      </c>
      <c r="AK148" s="170">
        <v>0.14366438000000001</v>
      </c>
      <c r="AL148" s="170">
        <v>-6.8489199999999997E-3</v>
      </c>
      <c r="AM148" s="170">
        <v>1.32065E-4</v>
      </c>
      <c r="AN148" s="170">
        <f>-8.5613*10^-7</f>
        <v>-8.5612999999999992E-7</v>
      </c>
      <c r="AO148" s="171">
        <v>1</v>
      </c>
      <c r="AP148" s="171">
        <v>1</v>
      </c>
      <c r="AQ148" s="171">
        <v>6</v>
      </c>
      <c r="AR148" s="171">
        <v>8</v>
      </c>
      <c r="AS148" s="171">
        <v>8</v>
      </c>
      <c r="AT148" s="171">
        <v>8</v>
      </c>
      <c r="AU148" s="171" t="s">
        <v>183</v>
      </c>
      <c r="AV148" s="179">
        <v>13</v>
      </c>
      <c r="AW148" s="179">
        <v>12</v>
      </c>
      <c r="AX148" s="179"/>
      <c r="AY148" s="179">
        <v>17</v>
      </c>
      <c r="AZ148" s="179">
        <v>15</v>
      </c>
    </row>
    <row r="149" spans="1:52" s="170" customFormat="1">
      <c r="A149" s="173" t="s">
        <v>166</v>
      </c>
      <c r="B149" s="173">
        <v>7075</v>
      </c>
      <c r="C149" s="175">
        <v>143</v>
      </c>
      <c r="D149" s="174"/>
      <c r="E149" s="173" t="s">
        <v>165</v>
      </c>
      <c r="F149" s="173" t="s">
        <v>182</v>
      </c>
      <c r="G149" s="173" t="s">
        <v>181</v>
      </c>
      <c r="H149" s="173" t="s">
        <v>180</v>
      </c>
      <c r="I149" s="173" t="s">
        <v>176</v>
      </c>
      <c r="J149" s="178">
        <v>74</v>
      </c>
      <c r="K149" s="178">
        <v>74</v>
      </c>
      <c r="L149" s="172"/>
      <c r="M149" s="178">
        <v>66</v>
      </c>
      <c r="N149" s="178">
        <v>64</v>
      </c>
      <c r="O149" s="172"/>
      <c r="P149" s="178">
        <v>65</v>
      </c>
      <c r="Q149" s="178">
        <v>68</v>
      </c>
      <c r="R149" s="178"/>
      <c r="S149" s="178">
        <v>44</v>
      </c>
      <c r="T149" s="178">
        <v>115</v>
      </c>
      <c r="U149" s="178">
        <v>148</v>
      </c>
      <c r="V149" s="178">
        <v>96</v>
      </c>
      <c r="W149" s="178">
        <v>112</v>
      </c>
      <c r="X149" s="178">
        <v>9</v>
      </c>
      <c r="Y149" s="172">
        <v>10.3</v>
      </c>
      <c r="Z149" s="178">
        <v>10</v>
      </c>
      <c r="AA149" s="172">
        <v>10.5</v>
      </c>
      <c r="AB149" s="180">
        <v>10.199999999999999</v>
      </c>
      <c r="AC149" s="172">
        <f t="shared" si="3"/>
        <v>3.7431192660550452</v>
      </c>
      <c r="AD149" s="172">
        <v>0.33</v>
      </c>
      <c r="AE149" s="172">
        <v>0.10100000000000001</v>
      </c>
      <c r="AF149" s="170">
        <v>74</v>
      </c>
      <c r="AG149" s="170">
        <v>9.1</v>
      </c>
      <c r="AH149" s="170">
        <v>0.32</v>
      </c>
      <c r="AI149" s="170">
        <v>85.890735269999993</v>
      </c>
      <c r="AJ149" s="170">
        <v>-2.6799178399999999</v>
      </c>
      <c r="AK149" s="170">
        <v>0.14366438000000001</v>
      </c>
      <c r="AL149" s="170">
        <v>-6.8489199999999997E-3</v>
      </c>
      <c r="AM149" s="170">
        <v>1.32065E-4</v>
      </c>
      <c r="AN149" s="170">
        <f>-8.5613*10^-7</f>
        <v>-8.5612999999999992E-7</v>
      </c>
      <c r="AO149" s="171">
        <v>1</v>
      </c>
      <c r="AP149" s="171">
        <v>1</v>
      </c>
      <c r="AQ149" s="171">
        <v>6</v>
      </c>
      <c r="AR149" s="171">
        <v>8</v>
      </c>
      <c r="AS149" s="171">
        <v>8</v>
      </c>
      <c r="AT149" s="171">
        <v>8</v>
      </c>
      <c r="AU149" s="171" t="s">
        <v>183</v>
      </c>
      <c r="AV149" s="179">
        <v>13</v>
      </c>
      <c r="AW149" s="179">
        <v>12</v>
      </c>
      <c r="AX149" s="179"/>
      <c r="AY149" s="179">
        <v>17</v>
      </c>
      <c r="AZ149" s="179">
        <v>15</v>
      </c>
    </row>
    <row r="150" spans="1:52" s="170" customFormat="1">
      <c r="A150" s="173" t="s">
        <v>166</v>
      </c>
      <c r="B150" s="173">
        <v>7075</v>
      </c>
      <c r="C150" s="175">
        <v>144</v>
      </c>
      <c r="D150" s="174"/>
      <c r="E150" s="173" t="s">
        <v>165</v>
      </c>
      <c r="F150" s="173" t="s">
        <v>182</v>
      </c>
      <c r="G150" s="173" t="s">
        <v>181</v>
      </c>
      <c r="H150" s="173" t="s">
        <v>180</v>
      </c>
      <c r="I150" s="173" t="s">
        <v>173</v>
      </c>
      <c r="J150" s="172">
        <v>75</v>
      </c>
      <c r="K150" s="172">
        <v>75</v>
      </c>
      <c r="L150" s="172"/>
      <c r="M150" s="172">
        <v>66</v>
      </c>
      <c r="N150" s="172">
        <v>64</v>
      </c>
      <c r="O150" s="172"/>
      <c r="P150" s="172">
        <v>65</v>
      </c>
      <c r="Q150" s="172">
        <v>68</v>
      </c>
      <c r="R150" s="172"/>
      <c r="S150" s="172">
        <v>45</v>
      </c>
      <c r="T150" s="172">
        <v>116</v>
      </c>
      <c r="U150" s="172">
        <v>150</v>
      </c>
      <c r="V150" s="172">
        <v>96</v>
      </c>
      <c r="W150" s="172">
        <v>112</v>
      </c>
      <c r="X150" s="172">
        <v>9</v>
      </c>
      <c r="Y150" s="172">
        <v>10.3</v>
      </c>
      <c r="Z150" s="172">
        <v>10</v>
      </c>
      <c r="AA150" s="172">
        <v>10.5</v>
      </c>
      <c r="AB150" s="172">
        <v>10.199999999999999</v>
      </c>
      <c r="AC150" s="172">
        <f t="shared" si="3"/>
        <v>3.7431192660550452</v>
      </c>
      <c r="AD150" s="172">
        <v>0.33</v>
      </c>
      <c r="AE150" s="172">
        <v>0.10100000000000001</v>
      </c>
      <c r="AF150" s="170">
        <v>74</v>
      </c>
      <c r="AG150" s="170">
        <v>9.1</v>
      </c>
      <c r="AH150" s="170">
        <v>0.32</v>
      </c>
      <c r="AI150" s="170">
        <v>85.890735269999993</v>
      </c>
      <c r="AJ150" s="170">
        <v>-2.6799178399999999</v>
      </c>
      <c r="AK150" s="170">
        <v>0.14366438000000001</v>
      </c>
      <c r="AL150" s="170">
        <v>-6.8489199999999997E-3</v>
      </c>
      <c r="AM150" s="170">
        <v>1.32065E-4</v>
      </c>
      <c r="AN150" s="170">
        <f>-8.5613*10^-7</f>
        <v>-8.5612999999999992E-7</v>
      </c>
      <c r="AO150" s="171">
        <v>1</v>
      </c>
      <c r="AP150" s="171">
        <v>1</v>
      </c>
      <c r="AQ150" s="171">
        <v>6</v>
      </c>
      <c r="AR150" s="171">
        <v>8</v>
      </c>
      <c r="AS150" s="171">
        <v>8</v>
      </c>
      <c r="AT150" s="171">
        <v>8</v>
      </c>
      <c r="AU150" s="171"/>
      <c r="AV150" s="179">
        <v>13</v>
      </c>
      <c r="AW150" s="179">
        <v>12</v>
      </c>
      <c r="AX150" s="179"/>
      <c r="AY150" s="179">
        <v>17</v>
      </c>
      <c r="AZ150" s="179">
        <v>15</v>
      </c>
    </row>
    <row r="151" spans="1:52" s="170" customFormat="1">
      <c r="A151" s="173" t="s">
        <v>166</v>
      </c>
      <c r="B151" s="173">
        <v>7075</v>
      </c>
      <c r="C151" s="175">
        <v>145</v>
      </c>
      <c r="D151" s="174"/>
      <c r="E151" s="173" t="s">
        <v>165</v>
      </c>
      <c r="F151" s="173" t="s">
        <v>175</v>
      </c>
      <c r="G151" s="173" t="s">
        <v>163</v>
      </c>
      <c r="H151" s="173" t="s">
        <v>174</v>
      </c>
      <c r="I151" s="173" t="s">
        <v>179</v>
      </c>
      <c r="J151" s="172"/>
      <c r="K151" s="172">
        <v>68</v>
      </c>
      <c r="L151" s="172"/>
      <c r="M151" s="172"/>
      <c r="N151" s="172">
        <v>58</v>
      </c>
      <c r="O151" s="172"/>
      <c r="P151" s="172"/>
      <c r="Q151" s="172"/>
      <c r="R151" s="172"/>
      <c r="S151" s="172"/>
      <c r="T151" s="172"/>
      <c r="U151" s="172"/>
      <c r="V151" s="172"/>
      <c r="W151" s="172"/>
      <c r="X151" s="172">
        <v>5</v>
      </c>
      <c r="Y151" s="172">
        <v>10.3</v>
      </c>
      <c r="Z151" s="172">
        <v>9.5</v>
      </c>
      <c r="AA151" s="172">
        <v>10.5</v>
      </c>
      <c r="AB151" s="172">
        <v>9.6999999999999993</v>
      </c>
      <c r="AC151" s="172">
        <f t="shared" si="3"/>
        <v>3.5596330275229353</v>
      </c>
      <c r="AD151" s="172">
        <v>0.33</v>
      </c>
      <c r="AE151" s="172">
        <v>0.10100000000000001</v>
      </c>
      <c r="AF151" s="170">
        <v>73</v>
      </c>
      <c r="AG151" s="170">
        <v>9.1</v>
      </c>
      <c r="AH151" s="170">
        <v>0.32</v>
      </c>
      <c r="AI151" s="170">
        <v>84.973266949999996</v>
      </c>
      <c r="AJ151" s="170">
        <v>-2.7496888799999999</v>
      </c>
      <c r="AK151" s="170">
        <v>0.15441649700000001</v>
      </c>
      <c r="AL151" s="170">
        <v>-7.2425600000000003E-3</v>
      </c>
      <c r="AM151" s="170">
        <v>1.37866E-4</v>
      </c>
      <c r="AN151" s="170">
        <f>-8.8667*10^-7</f>
        <v>-8.8666999999999993E-7</v>
      </c>
      <c r="AO151" s="171"/>
      <c r="AP151" s="171"/>
      <c r="AQ151" s="171"/>
      <c r="AR151" s="171"/>
      <c r="AS151" s="171"/>
      <c r="AT151" s="171"/>
      <c r="AU151" s="171" t="s">
        <v>160</v>
      </c>
      <c r="AV151" s="171">
        <f t="shared" ref="AV151:AW154" si="4">AV73</f>
        <v>25</v>
      </c>
      <c r="AW151" s="171">
        <f t="shared" si="4"/>
        <v>22</v>
      </c>
      <c r="AX151" s="171"/>
      <c r="AY151" s="171">
        <f t="shared" ref="AY151:AZ154" si="5">AY73</f>
        <v>22</v>
      </c>
      <c r="AZ151" s="171">
        <f t="shared" si="5"/>
        <v>22</v>
      </c>
    </row>
    <row r="152" spans="1:52" s="170" customFormat="1">
      <c r="A152" s="173" t="s">
        <v>166</v>
      </c>
      <c r="B152" s="173">
        <v>7075</v>
      </c>
      <c r="C152" s="175">
        <v>146</v>
      </c>
      <c r="D152" s="174"/>
      <c r="E152" s="173" t="s">
        <v>165</v>
      </c>
      <c r="F152" s="173" t="s">
        <v>175</v>
      </c>
      <c r="G152" s="173" t="s">
        <v>163</v>
      </c>
      <c r="H152" s="173" t="s">
        <v>174</v>
      </c>
      <c r="I152" s="173" t="s">
        <v>178</v>
      </c>
      <c r="J152" s="172">
        <v>70</v>
      </c>
      <c r="K152" s="172">
        <v>70</v>
      </c>
      <c r="L152" s="172"/>
      <c r="M152" s="172">
        <v>62</v>
      </c>
      <c r="N152" s="172">
        <v>60</v>
      </c>
      <c r="O152" s="172"/>
      <c r="P152" s="172">
        <v>61</v>
      </c>
      <c r="Q152" s="172">
        <v>64</v>
      </c>
      <c r="R152" s="172"/>
      <c r="S152" s="172">
        <v>42</v>
      </c>
      <c r="T152" s="172">
        <v>108</v>
      </c>
      <c r="U152" s="172">
        <v>140</v>
      </c>
      <c r="V152" s="172">
        <v>90</v>
      </c>
      <c r="W152" s="172">
        <v>105</v>
      </c>
      <c r="X152" s="172">
        <v>7</v>
      </c>
      <c r="Y152" s="172">
        <v>10.3</v>
      </c>
      <c r="Z152" s="172">
        <v>9.5</v>
      </c>
      <c r="AA152" s="172">
        <v>10.5</v>
      </c>
      <c r="AB152" s="172">
        <v>9.6999999999999993</v>
      </c>
      <c r="AC152" s="172">
        <f t="shared" si="3"/>
        <v>3.5596330275229353</v>
      </c>
      <c r="AD152" s="172">
        <v>0.33</v>
      </c>
      <c r="AE152" s="172">
        <v>0.10100000000000001</v>
      </c>
      <c r="AF152" s="170">
        <v>73</v>
      </c>
      <c r="AG152" s="170">
        <v>9.1</v>
      </c>
      <c r="AH152" s="170">
        <v>0.32</v>
      </c>
      <c r="AI152" s="170">
        <v>84.973266949999996</v>
      </c>
      <c r="AJ152" s="170">
        <v>-2.7496888799999999</v>
      </c>
      <c r="AK152" s="170">
        <v>0.15441649700000001</v>
      </c>
      <c r="AL152" s="170">
        <v>-7.2425600000000003E-3</v>
      </c>
      <c r="AM152" s="170">
        <v>1.37866E-4</v>
      </c>
      <c r="AN152" s="170">
        <f>-8.8667*10^-7</f>
        <v>-8.8666999999999993E-7</v>
      </c>
      <c r="AO152" s="171"/>
      <c r="AP152" s="171"/>
      <c r="AQ152" s="171"/>
      <c r="AR152" s="171"/>
      <c r="AS152" s="171"/>
      <c r="AT152" s="171"/>
      <c r="AU152" s="171" t="s">
        <v>160</v>
      </c>
      <c r="AV152" s="171">
        <f t="shared" si="4"/>
        <v>25</v>
      </c>
      <c r="AW152" s="171">
        <f t="shared" si="4"/>
        <v>22</v>
      </c>
      <c r="AX152" s="171"/>
      <c r="AY152" s="171">
        <f t="shared" si="5"/>
        <v>22</v>
      </c>
      <c r="AZ152" s="171">
        <f t="shared" si="5"/>
        <v>22</v>
      </c>
    </row>
    <row r="153" spans="1:52" s="170" customFormat="1">
      <c r="A153" s="173" t="s">
        <v>166</v>
      </c>
      <c r="B153" s="173">
        <v>7075</v>
      </c>
      <c r="C153" s="175">
        <v>147</v>
      </c>
      <c r="D153" s="174"/>
      <c r="E153" s="173" t="s">
        <v>165</v>
      </c>
      <c r="F153" s="173" t="s">
        <v>175</v>
      </c>
      <c r="G153" s="173" t="s">
        <v>163</v>
      </c>
      <c r="H153" s="173" t="s">
        <v>174</v>
      </c>
      <c r="I153" s="173" t="s">
        <v>177</v>
      </c>
      <c r="J153" s="178">
        <v>71</v>
      </c>
      <c r="K153" s="178">
        <v>71</v>
      </c>
      <c r="L153" s="172"/>
      <c r="M153" s="178">
        <v>63</v>
      </c>
      <c r="N153" s="178">
        <v>61</v>
      </c>
      <c r="O153" s="172"/>
      <c r="P153" s="178">
        <v>62</v>
      </c>
      <c r="Q153" s="178">
        <v>65</v>
      </c>
      <c r="R153" s="172"/>
      <c r="S153" s="178">
        <v>42</v>
      </c>
      <c r="T153" s="178">
        <v>110</v>
      </c>
      <c r="U153" s="178">
        <v>142</v>
      </c>
      <c r="V153" s="178">
        <v>91</v>
      </c>
      <c r="W153" s="178">
        <v>106</v>
      </c>
      <c r="X153" s="172">
        <v>8</v>
      </c>
      <c r="Y153" s="172">
        <v>10.3</v>
      </c>
      <c r="Z153" s="172">
        <v>9.5</v>
      </c>
      <c r="AA153" s="172">
        <v>10.5</v>
      </c>
      <c r="AB153" s="172">
        <v>9.6999999999999993</v>
      </c>
      <c r="AC153" s="172">
        <f t="shared" si="3"/>
        <v>3.5596330275229353</v>
      </c>
      <c r="AD153" s="172">
        <v>0.33</v>
      </c>
      <c r="AE153" s="172">
        <v>0.10100000000000001</v>
      </c>
      <c r="AF153" s="170">
        <v>74</v>
      </c>
      <c r="AG153" s="170">
        <v>9.1</v>
      </c>
      <c r="AH153" s="170">
        <v>0.32</v>
      </c>
      <c r="AI153" s="170">
        <v>85.890735269999993</v>
      </c>
      <c r="AJ153" s="170">
        <v>-2.6799178399999999</v>
      </c>
      <c r="AK153" s="170">
        <v>0.14366438000000001</v>
      </c>
      <c r="AL153" s="170">
        <v>-6.8489199999999997E-3</v>
      </c>
      <c r="AM153" s="170">
        <v>1.32065E-4</v>
      </c>
      <c r="AN153" s="170">
        <f>-8.5613*10^-7</f>
        <v>-8.5612999999999992E-7</v>
      </c>
      <c r="AO153" s="171"/>
      <c r="AP153" s="171"/>
      <c r="AQ153" s="171"/>
      <c r="AR153" s="171"/>
      <c r="AS153" s="171"/>
      <c r="AT153" s="171"/>
      <c r="AU153" s="171" t="s">
        <v>160</v>
      </c>
      <c r="AV153" s="171">
        <f t="shared" si="4"/>
        <v>25</v>
      </c>
      <c r="AW153" s="171">
        <f t="shared" si="4"/>
        <v>22</v>
      </c>
      <c r="AX153" s="171"/>
      <c r="AY153" s="171">
        <f t="shared" si="5"/>
        <v>22</v>
      </c>
      <c r="AZ153" s="171">
        <f t="shared" si="5"/>
        <v>22</v>
      </c>
    </row>
    <row r="154" spans="1:52" s="170" customFormat="1">
      <c r="A154" s="173" t="s">
        <v>166</v>
      </c>
      <c r="B154" s="173">
        <v>7075</v>
      </c>
      <c r="C154" s="175">
        <v>148</v>
      </c>
      <c r="D154" s="174"/>
      <c r="E154" s="173" t="s">
        <v>165</v>
      </c>
      <c r="F154" s="173" t="s">
        <v>175</v>
      </c>
      <c r="G154" s="173" t="s">
        <v>163</v>
      </c>
      <c r="H154" s="173" t="s">
        <v>174</v>
      </c>
      <c r="I154" s="173" t="s">
        <v>176</v>
      </c>
      <c r="J154" s="172">
        <v>73</v>
      </c>
      <c r="K154" s="172">
        <v>73</v>
      </c>
      <c r="L154" s="172"/>
      <c r="M154" s="172">
        <v>65</v>
      </c>
      <c r="N154" s="172">
        <v>63</v>
      </c>
      <c r="O154" s="172"/>
      <c r="P154" s="172">
        <v>64</v>
      </c>
      <c r="Q154" s="172">
        <v>67</v>
      </c>
      <c r="R154" s="172"/>
      <c r="S154" s="172">
        <v>44</v>
      </c>
      <c r="T154" s="172">
        <v>113</v>
      </c>
      <c r="U154" s="172">
        <v>146</v>
      </c>
      <c r="V154" s="172">
        <v>94</v>
      </c>
      <c r="W154" s="172">
        <v>110</v>
      </c>
      <c r="X154" s="172">
        <v>8</v>
      </c>
      <c r="Y154" s="172">
        <v>10.3</v>
      </c>
      <c r="Z154" s="172">
        <v>9.8000000000000007</v>
      </c>
      <c r="AA154" s="172">
        <v>10.5</v>
      </c>
      <c r="AB154" s="172">
        <v>10</v>
      </c>
      <c r="AC154" s="172">
        <f t="shared" si="3"/>
        <v>3.6697247706422016</v>
      </c>
      <c r="AD154" s="172">
        <v>0.33</v>
      </c>
      <c r="AE154" s="172">
        <v>0.10100000000000001</v>
      </c>
      <c r="AF154" s="170">
        <v>74</v>
      </c>
      <c r="AG154" s="170">
        <v>9.1</v>
      </c>
      <c r="AH154" s="170">
        <v>0.32</v>
      </c>
      <c r="AI154" s="170">
        <v>85.890735269999993</v>
      </c>
      <c r="AJ154" s="170">
        <v>-2.6799178399999999</v>
      </c>
      <c r="AK154" s="170">
        <v>0.14366438000000001</v>
      </c>
      <c r="AL154" s="170">
        <v>-6.8489199999999997E-3</v>
      </c>
      <c r="AM154" s="170">
        <v>1.32065E-4</v>
      </c>
      <c r="AN154" s="170">
        <f>-8.5613*10^-7</f>
        <v>-8.5612999999999992E-7</v>
      </c>
      <c r="AO154" s="171"/>
      <c r="AP154" s="171"/>
      <c r="AQ154" s="171"/>
      <c r="AR154" s="171"/>
      <c r="AS154" s="171"/>
      <c r="AT154" s="171"/>
      <c r="AU154" s="171" t="s">
        <v>160</v>
      </c>
      <c r="AV154" s="171">
        <f t="shared" si="4"/>
        <v>25</v>
      </c>
      <c r="AW154" s="171">
        <f t="shared" si="4"/>
        <v>22</v>
      </c>
      <c r="AX154" s="171"/>
      <c r="AY154" s="171">
        <f t="shared" si="5"/>
        <v>22</v>
      </c>
      <c r="AZ154" s="171">
        <f t="shared" si="5"/>
        <v>22</v>
      </c>
    </row>
    <row r="155" spans="1:52" s="170" customFormat="1">
      <c r="A155" s="173" t="s">
        <v>166</v>
      </c>
      <c r="B155" s="173">
        <v>7075</v>
      </c>
      <c r="C155" s="175">
        <v>149</v>
      </c>
      <c r="D155" s="174"/>
      <c r="E155" s="173" t="s">
        <v>165</v>
      </c>
      <c r="F155" s="173" t="s">
        <v>175</v>
      </c>
      <c r="G155" s="173" t="s">
        <v>163</v>
      </c>
      <c r="H155" s="173" t="s">
        <v>174</v>
      </c>
      <c r="I155" s="173" t="s">
        <v>173</v>
      </c>
      <c r="J155" s="172">
        <v>75</v>
      </c>
      <c r="K155" s="172">
        <v>75</v>
      </c>
      <c r="L155" s="172"/>
      <c r="M155" s="172">
        <v>66</v>
      </c>
      <c r="N155" s="172">
        <v>64</v>
      </c>
      <c r="O155" s="172"/>
      <c r="P155" s="178">
        <v>65</v>
      </c>
      <c r="Q155" s="172">
        <v>68</v>
      </c>
      <c r="R155" s="172"/>
      <c r="S155" s="172">
        <v>45</v>
      </c>
      <c r="T155" s="172">
        <v>116</v>
      </c>
      <c r="U155" s="172">
        <v>150</v>
      </c>
      <c r="V155" s="172">
        <v>96</v>
      </c>
      <c r="W155" s="172">
        <v>112</v>
      </c>
      <c r="X155" s="172">
        <v>8</v>
      </c>
      <c r="Y155" s="172">
        <v>10.3</v>
      </c>
      <c r="Z155" s="172">
        <v>10</v>
      </c>
      <c r="AA155" s="172">
        <v>10.5</v>
      </c>
      <c r="AB155" s="172">
        <v>10.199999999999999</v>
      </c>
      <c r="AC155" s="172">
        <f t="shared" si="3"/>
        <v>3.7431192660550452</v>
      </c>
      <c r="AD155" s="172">
        <v>0.33</v>
      </c>
      <c r="AE155" s="172">
        <v>0.10100000000000001</v>
      </c>
      <c r="AF155" s="170">
        <v>74</v>
      </c>
      <c r="AG155" s="170">
        <v>9.1</v>
      </c>
      <c r="AH155" s="170">
        <v>0.32</v>
      </c>
      <c r="AI155" s="170">
        <v>85.890735269999993</v>
      </c>
      <c r="AJ155" s="170">
        <v>-2.6799178399999999</v>
      </c>
      <c r="AK155" s="170">
        <v>0.14366438000000001</v>
      </c>
      <c r="AL155" s="170">
        <v>-6.8489199999999997E-3</v>
      </c>
      <c r="AM155" s="170">
        <v>1.32065E-4</v>
      </c>
      <c r="AN155" s="170">
        <f>-8.5613*10^-7</f>
        <v>-8.5612999999999992E-7</v>
      </c>
      <c r="AO155" s="171"/>
      <c r="AP155" s="171"/>
      <c r="AQ155" s="171"/>
      <c r="AR155" s="171"/>
      <c r="AS155" s="171"/>
      <c r="AT155" s="171"/>
      <c r="AU155" s="171" t="s">
        <v>160</v>
      </c>
      <c r="AV155" s="171">
        <f>AV154</f>
        <v>25</v>
      </c>
      <c r="AW155" s="171">
        <f>AW154</f>
        <v>22</v>
      </c>
      <c r="AX155" s="171"/>
      <c r="AY155" s="171">
        <f>AY154</f>
        <v>22</v>
      </c>
      <c r="AZ155" s="171">
        <f>AZ154</f>
        <v>22</v>
      </c>
    </row>
    <row r="156" spans="1:52" s="170" customFormat="1">
      <c r="A156" s="173" t="s">
        <v>166</v>
      </c>
      <c r="B156" s="173">
        <v>7075</v>
      </c>
      <c r="C156" s="175">
        <v>150</v>
      </c>
      <c r="D156" s="177"/>
      <c r="E156" s="173" t="s">
        <v>165</v>
      </c>
      <c r="F156" s="173" t="s">
        <v>164</v>
      </c>
      <c r="G156" s="173" t="s">
        <v>163</v>
      </c>
      <c r="H156" s="173" t="s">
        <v>162</v>
      </c>
      <c r="I156" s="173" t="s">
        <v>172</v>
      </c>
      <c r="J156" s="172">
        <v>74</v>
      </c>
      <c r="K156" s="172">
        <v>75</v>
      </c>
      <c r="L156" s="172"/>
      <c r="M156" s="172">
        <v>67</v>
      </c>
      <c r="N156" s="172">
        <v>65</v>
      </c>
      <c r="O156" s="172"/>
      <c r="P156" s="172">
        <v>65</v>
      </c>
      <c r="Q156" s="172">
        <v>69</v>
      </c>
      <c r="R156" s="172"/>
      <c r="S156" s="172">
        <v>42</v>
      </c>
      <c r="T156" s="172">
        <v>113</v>
      </c>
      <c r="U156" s="172">
        <v>139</v>
      </c>
      <c r="V156" s="172">
        <v>94</v>
      </c>
      <c r="W156" s="172">
        <v>111</v>
      </c>
      <c r="X156" s="172">
        <v>9</v>
      </c>
      <c r="Y156" s="172">
        <v>10.3</v>
      </c>
      <c r="Z156" s="172">
        <v>10</v>
      </c>
      <c r="AA156" s="172">
        <v>10.6</v>
      </c>
      <c r="AB156" s="172">
        <v>10.3</v>
      </c>
      <c r="AC156" s="172">
        <f t="shared" si="3"/>
        <v>3.7798165137614679</v>
      </c>
      <c r="AD156" s="172">
        <v>0.33</v>
      </c>
      <c r="AE156" s="172">
        <v>0.10100000000000001</v>
      </c>
      <c r="AO156" s="171">
        <v>1</v>
      </c>
      <c r="AP156" s="171">
        <v>1</v>
      </c>
      <c r="AQ156" s="171">
        <v>6</v>
      </c>
      <c r="AR156" s="171">
        <v>8</v>
      </c>
      <c r="AS156" s="171">
        <v>8</v>
      </c>
      <c r="AT156" s="171">
        <v>8</v>
      </c>
      <c r="AU156" s="171" t="s">
        <v>160</v>
      </c>
      <c r="AV156" s="171">
        <f t="shared" ref="AV156:AW162" si="6">AV77</f>
        <v>16</v>
      </c>
      <c r="AW156" s="171">
        <f t="shared" si="6"/>
        <v>19</v>
      </c>
      <c r="AX156" s="171"/>
      <c r="AY156" s="171">
        <f t="shared" ref="AY156:AZ162" si="7">AY77</f>
        <v>32</v>
      </c>
      <c r="AZ156" s="171">
        <f t="shared" si="7"/>
        <v>17</v>
      </c>
    </row>
    <row r="157" spans="1:52" s="170" customFormat="1">
      <c r="A157" s="173" t="s">
        <v>166</v>
      </c>
      <c r="B157" s="173">
        <v>7075</v>
      </c>
      <c r="C157" s="175">
        <v>151</v>
      </c>
      <c r="D157" s="177"/>
      <c r="E157" s="173" t="s">
        <v>165</v>
      </c>
      <c r="F157" s="173" t="s">
        <v>164</v>
      </c>
      <c r="G157" s="173" t="s">
        <v>163</v>
      </c>
      <c r="H157" s="173" t="s">
        <v>162</v>
      </c>
      <c r="I157" s="173" t="s">
        <v>171</v>
      </c>
      <c r="J157" s="172">
        <v>75</v>
      </c>
      <c r="K157" s="172">
        <v>76</v>
      </c>
      <c r="L157" s="172"/>
      <c r="M157" s="172">
        <v>68</v>
      </c>
      <c r="N157" s="172">
        <v>66</v>
      </c>
      <c r="O157" s="172"/>
      <c r="P157" s="172">
        <v>66</v>
      </c>
      <c r="Q157" s="172">
        <v>70</v>
      </c>
      <c r="R157" s="172"/>
      <c r="S157" s="172">
        <v>42</v>
      </c>
      <c r="T157" s="172">
        <v>114</v>
      </c>
      <c r="U157" s="172">
        <v>141</v>
      </c>
      <c r="V157" s="172">
        <v>97</v>
      </c>
      <c r="W157" s="172">
        <v>113</v>
      </c>
      <c r="X157" s="172">
        <v>7</v>
      </c>
      <c r="Y157" s="172">
        <v>10.3</v>
      </c>
      <c r="Z157" s="172">
        <v>10</v>
      </c>
      <c r="AA157" s="172">
        <v>10.6</v>
      </c>
      <c r="AB157" s="172">
        <v>10.3</v>
      </c>
      <c r="AC157" s="172">
        <f t="shared" si="3"/>
        <v>3.7798165137614679</v>
      </c>
      <c r="AD157" s="172">
        <v>0.33</v>
      </c>
      <c r="AE157" s="172">
        <v>0.10100000000000001</v>
      </c>
      <c r="AO157" s="171">
        <v>2</v>
      </c>
      <c r="AP157" s="171">
        <v>2</v>
      </c>
      <c r="AQ157" s="171">
        <v>6</v>
      </c>
      <c r="AR157" s="171">
        <v>11</v>
      </c>
      <c r="AS157" s="171">
        <v>11</v>
      </c>
      <c r="AT157" s="171">
        <v>11</v>
      </c>
      <c r="AU157" s="171" t="s">
        <v>160</v>
      </c>
      <c r="AV157" s="171">
        <f t="shared" si="6"/>
        <v>16</v>
      </c>
      <c r="AW157" s="171">
        <f t="shared" si="6"/>
        <v>19</v>
      </c>
      <c r="AX157" s="171"/>
      <c r="AY157" s="171">
        <f t="shared" si="7"/>
        <v>32</v>
      </c>
      <c r="AZ157" s="171">
        <f t="shared" si="7"/>
        <v>17</v>
      </c>
    </row>
    <row r="158" spans="1:52" s="170" customFormat="1">
      <c r="A158" s="173" t="s">
        <v>166</v>
      </c>
      <c r="B158" s="173">
        <v>7075</v>
      </c>
      <c r="C158" s="175">
        <v>152</v>
      </c>
      <c r="D158" s="177"/>
      <c r="E158" s="173" t="s">
        <v>165</v>
      </c>
      <c r="F158" s="173" t="s">
        <v>164</v>
      </c>
      <c r="G158" s="173" t="s">
        <v>163</v>
      </c>
      <c r="H158" s="173" t="s">
        <v>162</v>
      </c>
      <c r="I158" s="173" t="s">
        <v>170</v>
      </c>
      <c r="J158" s="172">
        <v>74</v>
      </c>
      <c r="K158" s="172">
        <v>75</v>
      </c>
      <c r="L158" s="172"/>
      <c r="M158" s="172">
        <v>67</v>
      </c>
      <c r="N158" s="172">
        <v>65</v>
      </c>
      <c r="O158" s="172"/>
      <c r="P158" s="172">
        <v>64</v>
      </c>
      <c r="Q158" s="172">
        <v>69</v>
      </c>
      <c r="R158" s="172"/>
      <c r="S158" s="172">
        <v>42</v>
      </c>
      <c r="T158" s="172">
        <v>113</v>
      </c>
      <c r="U158" s="172">
        <v>139</v>
      </c>
      <c r="V158" s="172">
        <v>97</v>
      </c>
      <c r="W158" s="172">
        <v>113</v>
      </c>
      <c r="X158" s="172">
        <v>6</v>
      </c>
      <c r="Y158" s="172">
        <v>10.3</v>
      </c>
      <c r="Z158" s="172">
        <v>10</v>
      </c>
      <c r="AA158" s="172">
        <v>10.6</v>
      </c>
      <c r="AB158" s="172">
        <v>10.3</v>
      </c>
      <c r="AC158" s="172">
        <f t="shared" si="3"/>
        <v>3.7798165137614679</v>
      </c>
      <c r="AD158" s="172">
        <v>0.33</v>
      </c>
      <c r="AE158" s="172">
        <v>0.10100000000000001</v>
      </c>
      <c r="AO158" s="171">
        <v>4</v>
      </c>
      <c r="AP158" s="171">
        <v>4</v>
      </c>
      <c r="AQ158" s="171">
        <v>6</v>
      </c>
      <c r="AR158" s="171">
        <v>13</v>
      </c>
      <c r="AS158" s="171">
        <v>13</v>
      </c>
      <c r="AT158" s="171">
        <v>13</v>
      </c>
      <c r="AU158" s="171" t="s">
        <v>160</v>
      </c>
      <c r="AV158" s="171">
        <f t="shared" si="6"/>
        <v>16</v>
      </c>
      <c r="AW158" s="171">
        <f t="shared" si="6"/>
        <v>19</v>
      </c>
      <c r="AX158" s="171"/>
      <c r="AY158" s="171">
        <f t="shared" si="7"/>
        <v>32</v>
      </c>
      <c r="AZ158" s="171">
        <f t="shared" si="7"/>
        <v>17</v>
      </c>
    </row>
    <row r="159" spans="1:52" s="170" customFormat="1">
      <c r="A159" s="173" t="s">
        <v>166</v>
      </c>
      <c r="B159" s="173">
        <v>7075</v>
      </c>
      <c r="C159" s="175">
        <v>153</v>
      </c>
      <c r="D159" s="177"/>
      <c r="E159" s="173" t="s">
        <v>165</v>
      </c>
      <c r="F159" s="173" t="s">
        <v>164</v>
      </c>
      <c r="G159" s="173" t="s">
        <v>163</v>
      </c>
      <c r="H159" s="173" t="s">
        <v>162</v>
      </c>
      <c r="I159" s="173" t="s">
        <v>169</v>
      </c>
      <c r="J159" s="172">
        <v>73</v>
      </c>
      <c r="K159" s="172">
        <v>74</v>
      </c>
      <c r="L159" s="172">
        <v>70</v>
      </c>
      <c r="M159" s="172">
        <v>64</v>
      </c>
      <c r="N159" s="172">
        <v>62</v>
      </c>
      <c r="O159" s="172">
        <v>59</v>
      </c>
      <c r="P159" s="172">
        <v>60</v>
      </c>
      <c r="Q159" s="172">
        <v>65</v>
      </c>
      <c r="R159" s="172">
        <v>67</v>
      </c>
      <c r="S159" s="172">
        <v>43</v>
      </c>
      <c r="T159" s="172">
        <v>111</v>
      </c>
      <c r="U159" s="172">
        <v>137</v>
      </c>
      <c r="V159" s="172">
        <v>95</v>
      </c>
      <c r="W159" s="172">
        <v>110</v>
      </c>
      <c r="X159" s="172">
        <v>5</v>
      </c>
      <c r="Y159" s="172">
        <v>10.3</v>
      </c>
      <c r="Z159" s="172">
        <v>10</v>
      </c>
      <c r="AA159" s="172">
        <v>10.6</v>
      </c>
      <c r="AB159" s="172">
        <v>10.3</v>
      </c>
      <c r="AC159" s="172">
        <f t="shared" si="3"/>
        <v>3.7798165137614679</v>
      </c>
      <c r="AD159" s="172">
        <v>0.33</v>
      </c>
      <c r="AE159" s="172">
        <v>0.10100000000000001</v>
      </c>
      <c r="AO159" s="171">
        <v>4</v>
      </c>
      <c r="AP159" s="171">
        <v>4</v>
      </c>
      <c r="AQ159" s="171">
        <v>6</v>
      </c>
      <c r="AR159" s="171">
        <v>13</v>
      </c>
      <c r="AS159" s="171">
        <v>13</v>
      </c>
      <c r="AT159" s="171">
        <v>13</v>
      </c>
      <c r="AU159" s="171" t="s">
        <v>160</v>
      </c>
      <c r="AV159" s="171">
        <f t="shared" si="6"/>
        <v>16</v>
      </c>
      <c r="AW159" s="171">
        <f t="shared" si="6"/>
        <v>19</v>
      </c>
      <c r="AX159" s="171"/>
      <c r="AY159" s="171">
        <f t="shared" si="7"/>
        <v>32</v>
      </c>
      <c r="AZ159" s="171">
        <f t="shared" si="7"/>
        <v>17</v>
      </c>
    </row>
    <row r="160" spans="1:52" s="170" customFormat="1">
      <c r="A160" s="173" t="s">
        <v>166</v>
      </c>
      <c r="B160" s="173">
        <v>7075</v>
      </c>
      <c r="C160" s="175">
        <v>154</v>
      </c>
      <c r="D160" s="177"/>
      <c r="E160" s="173" t="s">
        <v>165</v>
      </c>
      <c r="F160" s="173" t="s">
        <v>164</v>
      </c>
      <c r="G160" s="173" t="s">
        <v>163</v>
      </c>
      <c r="H160" s="173" t="s">
        <v>162</v>
      </c>
      <c r="I160" s="173" t="s">
        <v>168</v>
      </c>
      <c r="J160" s="172">
        <v>69</v>
      </c>
      <c r="K160" s="172">
        <v>70</v>
      </c>
      <c r="L160" s="172">
        <v>66</v>
      </c>
      <c r="M160" s="172">
        <v>61</v>
      </c>
      <c r="N160" s="172">
        <v>59</v>
      </c>
      <c r="O160" s="172">
        <v>56</v>
      </c>
      <c r="P160" s="172">
        <v>57</v>
      </c>
      <c r="Q160" s="172">
        <v>62</v>
      </c>
      <c r="R160" s="172">
        <v>64</v>
      </c>
      <c r="S160" s="172">
        <v>41</v>
      </c>
      <c r="T160" s="172">
        <v>105</v>
      </c>
      <c r="U160" s="172">
        <v>130</v>
      </c>
      <c r="V160" s="172">
        <v>90</v>
      </c>
      <c r="W160" s="172">
        <v>105</v>
      </c>
      <c r="X160" s="172">
        <v>5</v>
      </c>
      <c r="Y160" s="172">
        <v>10.3</v>
      </c>
      <c r="Z160" s="172">
        <v>10</v>
      </c>
      <c r="AA160" s="172">
        <v>10.6</v>
      </c>
      <c r="AB160" s="172">
        <v>10.3</v>
      </c>
      <c r="AC160" s="172">
        <f t="shared" si="3"/>
        <v>3.7798165137614679</v>
      </c>
      <c r="AD160" s="172">
        <v>0.33</v>
      </c>
      <c r="AE160" s="172">
        <v>0.10100000000000001</v>
      </c>
      <c r="AO160" s="171">
        <v>4</v>
      </c>
      <c r="AP160" s="171">
        <v>4</v>
      </c>
      <c r="AQ160" s="171">
        <v>6</v>
      </c>
      <c r="AR160" s="171">
        <v>13</v>
      </c>
      <c r="AS160" s="171">
        <v>13</v>
      </c>
      <c r="AT160" s="171">
        <v>13</v>
      </c>
      <c r="AU160" s="171" t="s">
        <v>160</v>
      </c>
      <c r="AV160" s="171">
        <f t="shared" si="6"/>
        <v>16</v>
      </c>
      <c r="AW160" s="171">
        <f t="shared" si="6"/>
        <v>19</v>
      </c>
      <c r="AX160" s="171"/>
      <c r="AY160" s="171">
        <f t="shared" si="7"/>
        <v>32</v>
      </c>
      <c r="AZ160" s="171">
        <f t="shared" si="7"/>
        <v>17</v>
      </c>
    </row>
    <row r="161" spans="1:53">
      <c r="A161" s="173" t="s">
        <v>166</v>
      </c>
      <c r="B161" s="173">
        <v>7075</v>
      </c>
      <c r="C161" s="175">
        <v>155</v>
      </c>
      <c r="D161" s="177"/>
      <c r="E161" s="173" t="s">
        <v>165</v>
      </c>
      <c r="F161" s="173" t="s">
        <v>164</v>
      </c>
      <c r="G161" s="173" t="s">
        <v>163</v>
      </c>
      <c r="H161" s="173" t="s">
        <v>162</v>
      </c>
      <c r="I161" s="173" t="s">
        <v>167</v>
      </c>
      <c r="J161" s="172">
        <v>68</v>
      </c>
      <c r="K161" s="172">
        <v>69</v>
      </c>
      <c r="L161" s="172">
        <v>65</v>
      </c>
      <c r="M161" s="172">
        <v>58</v>
      </c>
      <c r="N161" s="172">
        <v>56</v>
      </c>
      <c r="O161" s="172">
        <v>54</v>
      </c>
      <c r="P161" s="172">
        <v>53</v>
      </c>
      <c r="Q161" s="172">
        <v>59</v>
      </c>
      <c r="R161" s="172">
        <v>61</v>
      </c>
      <c r="S161" s="172">
        <v>40</v>
      </c>
      <c r="T161" s="172">
        <v>104</v>
      </c>
      <c r="U161" s="172">
        <v>128</v>
      </c>
      <c r="V161" s="172">
        <v>86</v>
      </c>
      <c r="W161" s="172">
        <v>100</v>
      </c>
      <c r="X161" s="172">
        <v>5</v>
      </c>
      <c r="Y161" s="172">
        <v>10.3</v>
      </c>
      <c r="Z161" s="172">
        <v>10</v>
      </c>
      <c r="AA161" s="172">
        <v>10.6</v>
      </c>
      <c r="AB161" s="172">
        <v>10.3</v>
      </c>
      <c r="AC161" s="172">
        <f t="shared" si="3"/>
        <v>3.7798165137614679</v>
      </c>
      <c r="AD161" s="172">
        <v>0.33</v>
      </c>
      <c r="AE161" s="172">
        <v>0.10100000000000001</v>
      </c>
      <c r="AO161" s="171">
        <v>4</v>
      </c>
      <c r="AP161" s="171">
        <v>4</v>
      </c>
      <c r="AQ161" s="171">
        <v>6</v>
      </c>
      <c r="AR161" s="171">
        <v>13</v>
      </c>
      <c r="AS161" s="171">
        <v>13</v>
      </c>
      <c r="AT161" s="171">
        <v>13</v>
      </c>
      <c r="AU161" s="171" t="s">
        <v>160</v>
      </c>
      <c r="AV161" s="171">
        <f t="shared" si="6"/>
        <v>16</v>
      </c>
      <c r="AW161" s="171">
        <f t="shared" si="6"/>
        <v>19</v>
      </c>
      <c r="AY161" s="171">
        <f t="shared" si="7"/>
        <v>32</v>
      </c>
      <c r="AZ161" s="171">
        <f t="shared" si="7"/>
        <v>17</v>
      </c>
      <c r="BA161" s="170"/>
    </row>
    <row r="162" spans="1:53">
      <c r="A162" s="173" t="s">
        <v>166</v>
      </c>
      <c r="B162" s="173">
        <v>7075</v>
      </c>
      <c r="C162" s="175">
        <v>156</v>
      </c>
      <c r="D162" s="177"/>
      <c r="E162" s="173" t="s">
        <v>165</v>
      </c>
      <c r="F162" s="173" t="s">
        <v>164</v>
      </c>
      <c r="G162" s="173" t="s">
        <v>163</v>
      </c>
      <c r="H162" s="173" t="s">
        <v>162</v>
      </c>
      <c r="I162" s="173" t="s">
        <v>161</v>
      </c>
      <c r="J162" s="172">
        <v>64</v>
      </c>
      <c r="K162" s="172">
        <v>65</v>
      </c>
      <c r="L162" s="172">
        <v>61</v>
      </c>
      <c r="M162" s="172">
        <v>54</v>
      </c>
      <c r="N162" s="172">
        <v>52</v>
      </c>
      <c r="O162" s="172">
        <v>50</v>
      </c>
      <c r="P162" s="172">
        <v>49</v>
      </c>
      <c r="Q162" s="172">
        <v>55</v>
      </c>
      <c r="R162" s="172">
        <v>57</v>
      </c>
      <c r="S162" s="172">
        <v>38</v>
      </c>
      <c r="T162" s="172">
        <v>98</v>
      </c>
      <c r="U162" s="172">
        <v>121</v>
      </c>
      <c r="V162" s="172">
        <v>80</v>
      </c>
      <c r="W162" s="172">
        <v>93</v>
      </c>
      <c r="X162" s="172">
        <v>3</v>
      </c>
      <c r="Y162" s="172">
        <v>10.3</v>
      </c>
      <c r="Z162" s="172">
        <v>10</v>
      </c>
      <c r="AA162" s="172">
        <v>10.6</v>
      </c>
      <c r="AB162" s="172">
        <v>10.3</v>
      </c>
      <c r="AC162" s="172">
        <f t="shared" si="3"/>
        <v>3.7798165137614679</v>
      </c>
      <c r="AD162" s="172">
        <v>0.33</v>
      </c>
      <c r="AE162" s="172">
        <v>0.10100000000000001</v>
      </c>
      <c r="AO162" s="171">
        <v>4</v>
      </c>
      <c r="AP162" s="171">
        <v>4</v>
      </c>
      <c r="AQ162" s="171">
        <v>6</v>
      </c>
      <c r="AR162" s="171">
        <v>13</v>
      </c>
      <c r="AS162" s="171">
        <v>13</v>
      </c>
      <c r="AT162" s="171">
        <v>13</v>
      </c>
      <c r="AU162" s="171" t="s">
        <v>160</v>
      </c>
      <c r="AV162" s="171">
        <f t="shared" si="6"/>
        <v>16</v>
      </c>
      <c r="AW162" s="171">
        <f t="shared" si="6"/>
        <v>19</v>
      </c>
      <c r="AY162" s="171">
        <f t="shared" si="7"/>
        <v>32</v>
      </c>
      <c r="AZ162" s="171">
        <f t="shared" si="7"/>
        <v>17</v>
      </c>
      <c r="BA162" s="170"/>
    </row>
    <row r="163" spans="1:53">
      <c r="B163" s="173">
        <v>7050</v>
      </c>
      <c r="C163" s="175">
        <v>157</v>
      </c>
      <c r="E163" s="173" t="s">
        <v>152</v>
      </c>
      <c r="F163" s="173" t="s">
        <v>151</v>
      </c>
      <c r="G163" s="173" t="s">
        <v>150</v>
      </c>
      <c r="H163" s="173" t="s">
        <v>149</v>
      </c>
      <c r="I163" s="173" t="s">
        <v>159</v>
      </c>
      <c r="J163" s="172">
        <v>74</v>
      </c>
      <c r="K163" s="172">
        <v>74</v>
      </c>
      <c r="M163" s="172">
        <v>64</v>
      </c>
      <c r="N163" s="172">
        <v>64</v>
      </c>
      <c r="P163" s="172">
        <v>63</v>
      </c>
      <c r="Q163" s="172">
        <v>66</v>
      </c>
      <c r="S163" s="172">
        <v>42</v>
      </c>
      <c r="T163" s="172">
        <v>107</v>
      </c>
      <c r="U163" s="172">
        <v>140</v>
      </c>
      <c r="V163" s="172">
        <v>86</v>
      </c>
      <c r="W163" s="172">
        <v>101</v>
      </c>
      <c r="X163" s="172">
        <v>10</v>
      </c>
      <c r="Y163" s="172">
        <v>10.3</v>
      </c>
      <c r="Z163" s="172">
        <v>10.3</v>
      </c>
      <c r="AA163" s="172">
        <v>10.6</v>
      </c>
      <c r="AB163" s="172">
        <v>10.6</v>
      </c>
      <c r="AC163" s="172">
        <v>3.9</v>
      </c>
      <c r="AD163" s="172">
        <v>0.33</v>
      </c>
      <c r="AE163" s="172">
        <v>0.10199999999999999</v>
      </c>
      <c r="AV163" s="171">
        <v>19</v>
      </c>
      <c r="AW163" s="171">
        <v>22</v>
      </c>
      <c r="AX163" s="171">
        <v>16</v>
      </c>
      <c r="AY163" s="171">
        <v>19</v>
      </c>
      <c r="AZ163" s="171">
        <v>13</v>
      </c>
      <c r="BA163" s="171">
        <v>10</v>
      </c>
    </row>
    <row r="164" spans="1:53">
      <c r="B164" s="173">
        <v>7050</v>
      </c>
      <c r="C164" s="175">
        <v>158</v>
      </c>
      <c r="E164" s="173" t="s">
        <v>152</v>
      </c>
      <c r="F164" s="173" t="s">
        <v>151</v>
      </c>
      <c r="G164" s="173" t="s">
        <v>150</v>
      </c>
      <c r="H164" s="173" t="s">
        <v>149</v>
      </c>
      <c r="I164" s="173" t="s">
        <v>158</v>
      </c>
      <c r="J164" s="172">
        <v>74</v>
      </c>
      <c r="K164" s="172">
        <v>74</v>
      </c>
      <c r="M164" s="172">
        <v>64</v>
      </c>
      <c r="N164" s="172">
        <v>64</v>
      </c>
      <c r="P164" s="172">
        <v>62</v>
      </c>
      <c r="Q164" s="172">
        <v>67</v>
      </c>
      <c r="S164" s="172">
        <v>43</v>
      </c>
      <c r="T164" s="172">
        <v>110</v>
      </c>
      <c r="U164" s="172">
        <v>144</v>
      </c>
      <c r="V164" s="172">
        <v>89</v>
      </c>
      <c r="W164" s="172">
        <v>104</v>
      </c>
      <c r="X164" s="172">
        <v>10</v>
      </c>
      <c r="Y164" s="172">
        <v>10.3</v>
      </c>
      <c r="Z164" s="172">
        <v>10.3</v>
      </c>
      <c r="AA164" s="172">
        <v>10.6</v>
      </c>
      <c r="AB164" s="172">
        <v>10.6</v>
      </c>
      <c r="AC164" s="172">
        <v>3.9</v>
      </c>
      <c r="AD164" s="172">
        <v>0.33</v>
      </c>
      <c r="AE164" s="172">
        <v>0.10199999999999999</v>
      </c>
      <c r="AV164" s="171">
        <v>19</v>
      </c>
      <c r="AW164" s="171">
        <v>22</v>
      </c>
      <c r="AX164" s="171">
        <v>16</v>
      </c>
      <c r="AY164" s="171">
        <v>19</v>
      </c>
      <c r="AZ164" s="171">
        <v>13</v>
      </c>
      <c r="BA164" s="171">
        <v>10</v>
      </c>
    </row>
    <row r="165" spans="1:53">
      <c r="B165" s="173">
        <v>7050</v>
      </c>
      <c r="C165" s="175">
        <v>159</v>
      </c>
      <c r="E165" s="173" t="s">
        <v>157</v>
      </c>
      <c r="F165" s="173" t="s">
        <v>156</v>
      </c>
      <c r="G165" s="173" t="s">
        <v>155</v>
      </c>
      <c r="H165" s="173" t="s">
        <v>154</v>
      </c>
      <c r="I165" s="173" t="s">
        <v>153</v>
      </c>
      <c r="J165" s="172">
        <v>70</v>
      </c>
      <c r="K165" s="172">
        <v>68</v>
      </c>
      <c r="M165" s="172">
        <v>60</v>
      </c>
      <c r="N165" s="172">
        <v>57</v>
      </c>
      <c r="P165" s="172">
        <v>60</v>
      </c>
      <c r="Q165" s="172">
        <v>60</v>
      </c>
      <c r="S165" s="172">
        <v>39</v>
      </c>
      <c r="T165" s="172">
        <v>103</v>
      </c>
      <c r="U165" s="172">
        <v>133</v>
      </c>
      <c r="V165" s="172">
        <v>82</v>
      </c>
      <c r="W165" s="172">
        <v>97</v>
      </c>
      <c r="X165" s="172">
        <v>8</v>
      </c>
      <c r="Y165" s="172">
        <v>10.3</v>
      </c>
      <c r="Z165" s="172">
        <v>10.3</v>
      </c>
      <c r="AA165" s="172">
        <v>10.7</v>
      </c>
      <c r="AB165" s="172">
        <v>10.7</v>
      </c>
      <c r="AC165" s="172">
        <v>3.9</v>
      </c>
      <c r="AD165" s="172">
        <v>0.33</v>
      </c>
      <c r="AE165" s="172">
        <v>0.10199999999999999</v>
      </c>
      <c r="AV165" s="171">
        <v>39</v>
      </c>
      <c r="AW165" s="171">
        <v>38</v>
      </c>
      <c r="AY165" s="171">
        <v>25</v>
      </c>
      <c r="AZ165" s="171">
        <v>21</v>
      </c>
    </row>
    <row r="166" spans="1:53">
      <c r="B166" s="173">
        <v>7050</v>
      </c>
      <c r="C166" s="175">
        <v>160</v>
      </c>
      <c r="E166" s="173" t="s">
        <v>152</v>
      </c>
      <c r="F166" s="173" t="s">
        <v>151</v>
      </c>
      <c r="G166" s="173" t="s">
        <v>150</v>
      </c>
      <c r="H166" s="173" t="s">
        <v>149</v>
      </c>
      <c r="I166" s="173" t="s">
        <v>148</v>
      </c>
      <c r="J166" s="172">
        <v>70</v>
      </c>
      <c r="K166" s="172">
        <v>70</v>
      </c>
      <c r="L166" s="172">
        <v>66</v>
      </c>
      <c r="M166" s="172">
        <v>60</v>
      </c>
      <c r="N166" s="172">
        <v>60</v>
      </c>
      <c r="O166" s="172">
        <v>57</v>
      </c>
      <c r="P166" s="172">
        <v>57</v>
      </c>
      <c r="Q166" s="172">
        <v>63</v>
      </c>
      <c r="R166" s="172">
        <v>62</v>
      </c>
      <c r="S166" s="172">
        <v>45</v>
      </c>
      <c r="T166" s="172">
        <v>105</v>
      </c>
      <c r="U166" s="172">
        <v>137</v>
      </c>
      <c r="V166" s="172">
        <v>91</v>
      </c>
      <c r="W166" s="172">
        <v>105</v>
      </c>
      <c r="X166" s="172">
        <v>8</v>
      </c>
      <c r="Y166" s="172">
        <v>10.3</v>
      </c>
      <c r="Z166" s="172">
        <v>10.3</v>
      </c>
      <c r="AA166" s="172">
        <v>10.6</v>
      </c>
      <c r="AB166" s="172">
        <v>10.6</v>
      </c>
      <c r="AC166" s="172">
        <v>3.9</v>
      </c>
      <c r="AD166" s="172">
        <v>0.33</v>
      </c>
      <c r="AE166" s="172">
        <v>0.10199999999999999</v>
      </c>
      <c r="AV166" s="171">
        <v>19</v>
      </c>
      <c r="AW166" s="171">
        <v>22</v>
      </c>
      <c r="AX166" s="171">
        <v>16</v>
      </c>
      <c r="AY166" s="171">
        <v>19</v>
      </c>
      <c r="AZ166" s="171">
        <v>13</v>
      </c>
      <c r="BA166" s="171">
        <v>10</v>
      </c>
    </row>
    <row r="167" spans="1:53">
      <c r="B167" s="173">
        <v>7475</v>
      </c>
      <c r="C167" s="175">
        <v>161</v>
      </c>
      <c r="F167" s="173" t="s">
        <v>140</v>
      </c>
      <c r="G167" s="173" t="s">
        <v>139</v>
      </c>
      <c r="H167" s="173" t="s">
        <v>138</v>
      </c>
      <c r="I167" s="176" t="s">
        <v>137</v>
      </c>
      <c r="J167" s="172">
        <v>70</v>
      </c>
      <c r="K167" s="172">
        <v>71</v>
      </c>
      <c r="L167" s="172">
        <v>66</v>
      </c>
      <c r="M167" s="172">
        <v>59</v>
      </c>
      <c r="N167" s="172">
        <v>60</v>
      </c>
      <c r="O167" s="172">
        <v>54</v>
      </c>
      <c r="P167" s="172">
        <v>58</v>
      </c>
      <c r="Q167" s="172">
        <v>61</v>
      </c>
      <c r="R167" s="172">
        <v>62</v>
      </c>
      <c r="S167" s="172">
        <v>41</v>
      </c>
      <c r="T167" s="172">
        <v>102</v>
      </c>
      <c r="U167" s="172">
        <v>132</v>
      </c>
      <c r="V167" s="172">
        <v>81</v>
      </c>
      <c r="W167" s="172">
        <v>97</v>
      </c>
      <c r="X167" s="172">
        <v>10</v>
      </c>
      <c r="Y167" s="172">
        <v>10.3</v>
      </c>
      <c r="Z167" s="172">
        <v>10.3</v>
      </c>
      <c r="AA167" s="172">
        <v>10.6</v>
      </c>
      <c r="AB167" s="172">
        <v>10.6</v>
      </c>
      <c r="AC167" s="172">
        <v>3.9</v>
      </c>
      <c r="AD167" s="172">
        <v>0.33</v>
      </c>
      <c r="AE167" s="172">
        <v>0.10100000000000001</v>
      </c>
      <c r="AV167" s="171">
        <v>15</v>
      </c>
      <c r="AW167" s="171">
        <v>18</v>
      </c>
      <c r="AY167" s="171">
        <v>50</v>
      </c>
      <c r="AZ167" s="171">
        <v>15</v>
      </c>
    </row>
    <row r="168" spans="1:53">
      <c r="C168" s="175">
        <v>162</v>
      </c>
    </row>
    <row r="169" spans="1:53">
      <c r="C169" s="175">
        <v>163</v>
      </c>
    </row>
    <row r="170" spans="1:53">
      <c r="C170" s="175">
        <v>164</v>
      </c>
    </row>
    <row r="171" spans="1:53">
      <c r="B171" s="173" t="s">
        <v>145</v>
      </c>
      <c r="C171" s="175">
        <v>165</v>
      </c>
      <c r="F171" s="173" t="s">
        <v>144</v>
      </c>
      <c r="G171" s="173" t="s">
        <v>143</v>
      </c>
      <c r="H171" s="173" t="s">
        <v>142</v>
      </c>
      <c r="I171" s="173" t="s">
        <v>147</v>
      </c>
      <c r="J171" s="172">
        <v>134</v>
      </c>
      <c r="K171" s="172">
        <v>134</v>
      </c>
      <c r="M171" s="172">
        <v>126</v>
      </c>
      <c r="N171" s="172">
        <v>126</v>
      </c>
      <c r="P171" s="172">
        <v>133</v>
      </c>
      <c r="Q171" s="172">
        <v>135</v>
      </c>
      <c r="S171" s="172">
        <v>87</v>
      </c>
      <c r="T171" s="172">
        <v>213</v>
      </c>
      <c r="U171" s="172">
        <v>272</v>
      </c>
      <c r="V171" s="172">
        <v>171</v>
      </c>
      <c r="W171" s="172">
        <v>208</v>
      </c>
      <c r="X171" s="172">
        <v>8</v>
      </c>
      <c r="Y171" s="172">
        <v>16</v>
      </c>
      <c r="Z171" s="172">
        <v>16</v>
      </c>
      <c r="AA171" s="172">
        <v>16.399999999999999</v>
      </c>
      <c r="AB171" s="172">
        <v>16.399999999999999</v>
      </c>
      <c r="AC171" s="172">
        <v>6.2</v>
      </c>
      <c r="AD171" s="172">
        <v>0.31</v>
      </c>
      <c r="AE171" s="172">
        <v>0.16</v>
      </c>
      <c r="AV171" s="171">
        <v>22</v>
      </c>
      <c r="AW171" s="171">
        <v>13</v>
      </c>
      <c r="AY171" s="171">
        <v>16</v>
      </c>
      <c r="AZ171" s="171">
        <v>16</v>
      </c>
    </row>
    <row r="172" spans="1:53">
      <c r="B172" s="173" t="s">
        <v>145</v>
      </c>
      <c r="C172" s="175">
        <v>166</v>
      </c>
      <c r="F172" s="173" t="s">
        <v>144</v>
      </c>
      <c r="G172" s="173" t="s">
        <v>143</v>
      </c>
      <c r="H172" s="173" t="s">
        <v>142</v>
      </c>
      <c r="I172" s="173" t="s">
        <v>146</v>
      </c>
      <c r="J172" s="172">
        <v>130</v>
      </c>
      <c r="K172" s="172">
        <v>130</v>
      </c>
      <c r="M172" s="172">
        <v>120</v>
      </c>
      <c r="N172" s="172">
        <v>120</v>
      </c>
      <c r="P172" s="172">
        <v>124</v>
      </c>
      <c r="Q172" s="172">
        <v>130</v>
      </c>
      <c r="S172" s="172">
        <v>79</v>
      </c>
      <c r="T172" s="172">
        <v>206</v>
      </c>
      <c r="U172" s="172">
        <v>260</v>
      </c>
      <c r="V172" s="172">
        <v>164</v>
      </c>
      <c r="W172" s="172">
        <v>194</v>
      </c>
      <c r="X172" s="172">
        <v>10</v>
      </c>
      <c r="Y172" s="172">
        <v>16</v>
      </c>
      <c r="Z172" s="172">
        <v>16</v>
      </c>
      <c r="AA172" s="172">
        <v>16.399999999999999</v>
      </c>
      <c r="AB172" s="172">
        <v>16.399999999999999</v>
      </c>
      <c r="AC172" s="172">
        <v>6.2</v>
      </c>
      <c r="AD172" s="172">
        <v>0.31</v>
      </c>
      <c r="AE172" s="172">
        <v>0.16</v>
      </c>
      <c r="AV172" s="171">
        <v>22</v>
      </c>
      <c r="AW172" s="171">
        <v>13</v>
      </c>
      <c r="AY172" s="171">
        <v>16</v>
      </c>
      <c r="AZ172" s="171">
        <v>16</v>
      </c>
    </row>
    <row r="173" spans="1:53">
      <c r="B173" s="173" t="s">
        <v>145</v>
      </c>
      <c r="C173" s="175">
        <v>167</v>
      </c>
      <c r="F173" s="173" t="s">
        <v>144</v>
      </c>
      <c r="G173" s="173" t="s">
        <v>143</v>
      </c>
      <c r="H173" s="173" t="s">
        <v>142</v>
      </c>
      <c r="I173" s="173" t="s">
        <v>141</v>
      </c>
      <c r="J173" s="172">
        <v>130</v>
      </c>
      <c r="K173" s="172">
        <v>130</v>
      </c>
      <c r="M173" s="172">
        <v>118</v>
      </c>
      <c r="N173" s="172">
        <v>118</v>
      </c>
      <c r="P173" s="172">
        <v>122</v>
      </c>
      <c r="Q173" s="172">
        <v>128</v>
      </c>
      <c r="S173" s="172">
        <v>19</v>
      </c>
      <c r="T173" s="172">
        <v>206</v>
      </c>
      <c r="U173" s="172">
        <v>260</v>
      </c>
      <c r="V173" s="172">
        <v>161</v>
      </c>
      <c r="W173" s="172">
        <v>191</v>
      </c>
      <c r="X173" s="172">
        <v>10</v>
      </c>
      <c r="Y173" s="172">
        <v>16</v>
      </c>
      <c r="Z173" s="172">
        <v>16</v>
      </c>
      <c r="AA173" s="172">
        <v>16.399999999999999</v>
      </c>
      <c r="AB173" s="172">
        <v>16.399999999999999</v>
      </c>
      <c r="AC173" s="172">
        <v>6.2</v>
      </c>
      <c r="AD173" s="172">
        <v>0.31</v>
      </c>
      <c r="AE173" s="172">
        <v>0.16</v>
      </c>
      <c r="AV173" s="171">
        <v>22</v>
      </c>
      <c r="AW173" s="171">
        <v>13</v>
      </c>
      <c r="AY173" s="171">
        <v>16</v>
      </c>
      <c r="AZ173" s="171">
        <v>16</v>
      </c>
    </row>
    <row r="174" spans="1:53">
      <c r="C174" s="175">
        <v>168</v>
      </c>
    </row>
    <row r="175" spans="1:53">
      <c r="C175" s="175">
        <v>169</v>
      </c>
    </row>
    <row r="176" spans="1:53">
      <c r="C176" s="175">
        <v>170</v>
      </c>
    </row>
    <row r="177" spans="3:3">
      <c r="C177" s="175">
        <v>171</v>
      </c>
    </row>
    <row r="178" spans="3:3">
      <c r="C178" s="175">
        <v>172</v>
      </c>
    </row>
    <row r="179" spans="3:3">
      <c r="C179" s="175">
        <v>173</v>
      </c>
    </row>
    <row r="180" spans="3:3">
      <c r="C180" s="175">
        <v>174</v>
      </c>
    </row>
    <row r="181" spans="3:3">
      <c r="C181" s="175">
        <v>175</v>
      </c>
    </row>
    <row r="182" spans="3:3">
      <c r="C182" s="175">
        <v>176</v>
      </c>
    </row>
  </sheetData>
  <conditionalFormatting sqref="AV125:BA125 BC125:BM126">
    <cfRule type="expression" dxfId="0" priority="1" stopIfTrue="1">
      <formula>"1=U2"</formula>
    </cfRule>
  </conditionalFormatting>
  <printOptions gridLines="1" gridLinesSet="0"/>
  <pageMargins left="0.25" right="0.27" top="0.5" bottom="0.21" header="0.5" footer="0.5"/>
  <pageSetup orientation="portrait" horizontalDpi="4294967292"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3"/>
  <sheetViews>
    <sheetView topLeftCell="A143" workbookViewId="0">
      <selection activeCell="A2" sqref="A2:A169"/>
    </sheetView>
  </sheetViews>
  <sheetFormatPr defaultRowHeight="13.2"/>
  <sheetData>
    <row r="2" spans="1:2" ht="13.8">
      <c r="A2">
        <f>'Base Material Data'!C7</f>
        <v>1</v>
      </c>
      <c r="B2" s="9" t="str">
        <f>'Base Material Data'!A8&amp;" "&amp;'Base Material Data'!B8&amp;"-"&amp;'Base Material Data'!F8&amp;", "&amp;'Base Material Data'!G8&amp;", "&amp;'Base Material Data'!I7</f>
        <v xml:space="preserve"> 2014-T6, AMS 4029, 0.020/0.039</v>
      </c>
    </row>
    <row r="3" spans="1:2" ht="13.8">
      <c r="A3">
        <f>'Base Material Data'!C8</f>
        <v>2</v>
      </c>
      <c r="B3" s="9" t="str">
        <f>'Base Material Data'!A9&amp;" "&amp;'Base Material Data'!B9&amp;"-"&amp;'Base Material Data'!F9&amp;", "&amp;'Base Material Data'!G9&amp;", "&amp;'Base Material Data'!I8</f>
        <v xml:space="preserve"> 2014-T651, AMS4029, 0.040/0.249</v>
      </c>
    </row>
    <row r="4" spans="1:2" ht="13.8">
      <c r="A4">
        <f>'Base Material Data'!C9</f>
        <v>3</v>
      </c>
      <c r="B4" s="9" t="str">
        <f>'Base Material Data'!A10&amp;" "&amp;'Base Material Data'!B10&amp;"-"&amp;'Base Material Data'!F10&amp;", "&amp;'Base Material Data'!G10&amp;", "&amp;'Base Material Data'!I9</f>
        <v xml:space="preserve"> 2014-T651, AMS4029, 0.250/0.499</v>
      </c>
    </row>
    <row r="5" spans="1:2" ht="13.8">
      <c r="A5">
        <f>'Base Material Data'!C10</f>
        <v>4</v>
      </c>
      <c r="B5" s="9" t="str">
        <f>'Base Material Data'!A11&amp;" "&amp;'Base Material Data'!B11&amp;"-"&amp;'Base Material Data'!F11&amp;", "&amp;'Base Material Data'!G11&amp;", "&amp;'Base Material Data'!I10</f>
        <v xml:space="preserve"> 2014-T651, AMS4029, 0.500/1.000</v>
      </c>
    </row>
    <row r="6" spans="1:2" ht="13.8">
      <c r="A6">
        <f>'Base Material Data'!C11</f>
        <v>5</v>
      </c>
      <c r="B6" s="9" t="str">
        <f>'Base Material Data'!A12&amp;" "&amp;'Base Material Data'!B12&amp;"-"&amp;'Base Material Data'!F12&amp;", "&amp;'Base Material Data'!G12&amp;", "&amp;'Base Material Data'!I11</f>
        <v xml:space="preserve"> 2014-T651, AMS4029, 1.001/2.000</v>
      </c>
    </row>
    <row r="7" spans="1:2" ht="13.8">
      <c r="A7">
        <f>'Base Material Data'!C12</f>
        <v>6</v>
      </c>
      <c r="B7" s="9" t="str">
        <f>'Base Material Data'!A13&amp;" "&amp;'Base Material Data'!B13&amp;"-"&amp;'Base Material Data'!F13&amp;", "&amp;'Base Material Data'!G13&amp;", "&amp;'Base Material Data'!I12</f>
        <v xml:space="preserve"> 2014-T651, AMS4029, 2.001/2.500</v>
      </c>
    </row>
    <row r="8" spans="1:2" ht="13.8">
      <c r="A8">
        <f>'Base Material Data'!C13</f>
        <v>7</v>
      </c>
      <c r="B8" s="9" t="str">
        <f>'Base Material Data'!A14&amp;" "&amp;'Base Material Data'!B14&amp;"-"&amp;'Base Material Data'!F14&amp;", "&amp;'Base Material Data'!G14&amp;", "&amp;'Base Material Data'!I13</f>
        <v xml:space="preserve"> 2014-T651, AMS4029, 2.501/3.000</v>
      </c>
    </row>
    <row r="9" spans="1:2" ht="13.8">
      <c r="A9">
        <f>'Base Material Data'!C14</f>
        <v>8</v>
      </c>
      <c r="B9" s="9" t="str">
        <f>'Base Material Data'!A15&amp;" "&amp;'Base Material Data'!B15&amp;"-"&amp;'Base Material Data'!F15&amp;", "&amp;'Base Material Data'!G15&amp;", "&amp;'Base Material Data'!I14</f>
        <v xml:space="preserve"> 2024-T3, QQ-A-250/4, 3.001/4.000</v>
      </c>
    </row>
    <row r="10" spans="1:2" ht="13.8">
      <c r="A10">
        <f>'Base Material Data'!C15</f>
        <v>9</v>
      </c>
      <c r="B10" s="9" t="str">
        <f>'Base Material Data'!A16&amp;" "&amp;'Base Material Data'!B16&amp;"-"&amp;'Base Material Data'!F16&amp;", "&amp;'Base Material Data'!G16&amp;", "&amp;'Base Material Data'!I15</f>
        <v xml:space="preserve"> 2024-T3, QQ-A-250/4, 0.008/0.009</v>
      </c>
    </row>
    <row r="11" spans="1:2" ht="13.8">
      <c r="A11">
        <f>'Base Material Data'!C16</f>
        <v>10</v>
      </c>
      <c r="B11" s="9" t="str">
        <f>'Base Material Data'!A17&amp;" "&amp;'Base Material Data'!B17&amp;"-"&amp;'Base Material Data'!F17&amp;", "&amp;'Base Material Data'!G17&amp;", "&amp;'Base Material Data'!I16</f>
        <v xml:space="preserve"> 2024-T3, QQ-A-250/4, 0.010/0.128</v>
      </c>
    </row>
    <row r="12" spans="1:2" ht="13.8">
      <c r="A12">
        <f>'Base Material Data'!C17</f>
        <v>11</v>
      </c>
      <c r="B12" s="9" t="str">
        <f>'Base Material Data'!A18&amp;" "&amp;'Base Material Data'!B18&amp;"-"&amp;'Base Material Data'!F18&amp;", "&amp;'Base Material Data'!G18&amp;", "&amp;'Base Material Data'!I17</f>
        <v xml:space="preserve"> 2024-T351, QQ-A-250/4, 0.129/0.249</v>
      </c>
    </row>
    <row r="13" spans="1:2" ht="13.8">
      <c r="A13">
        <f>'Base Material Data'!C18</f>
        <v>12</v>
      </c>
      <c r="B13" s="9" t="str">
        <f>'Base Material Data'!A19&amp;" "&amp;'Base Material Data'!B19&amp;"-"&amp;'Base Material Data'!F19&amp;", "&amp;'Base Material Data'!G19&amp;", "&amp;'Base Material Data'!I18</f>
        <v xml:space="preserve"> 2024-T351, QQ-A-250/4, 0.250/0.499</v>
      </c>
    </row>
    <row r="14" spans="1:2" ht="13.8">
      <c r="A14">
        <f>'Base Material Data'!C19</f>
        <v>13</v>
      </c>
      <c r="B14" s="9" t="str">
        <f>'Base Material Data'!A20&amp;" "&amp;'Base Material Data'!B20&amp;"-"&amp;'Base Material Data'!F20&amp;", "&amp;'Base Material Data'!G20&amp;", "&amp;'Base Material Data'!I19</f>
        <v xml:space="preserve"> 2024-T351, QQ-A-250/4, .500/1.000</v>
      </c>
    </row>
    <row r="15" spans="1:2" ht="13.8">
      <c r="A15">
        <f>'Base Material Data'!C20</f>
        <v>14</v>
      </c>
      <c r="B15" s="9" t="str">
        <f>'Base Material Data'!A21&amp;" "&amp;'Base Material Data'!B21&amp;"-"&amp;'Base Material Data'!F21&amp;", "&amp;'Base Material Data'!G21&amp;", "&amp;'Base Material Data'!I20</f>
        <v xml:space="preserve"> 2024-T351, QQ-A-250/4, 1.001/1.500</v>
      </c>
    </row>
    <row r="16" spans="1:2" ht="13.8">
      <c r="A16">
        <f>'Base Material Data'!C21</f>
        <v>15</v>
      </c>
      <c r="B16" s="9" t="str">
        <f>'Base Material Data'!A22&amp;" "&amp;'Base Material Data'!B22&amp;"-"&amp;'Base Material Data'!F22&amp;", "&amp;'Base Material Data'!G22&amp;", "&amp;'Base Material Data'!I21</f>
        <v xml:space="preserve"> 2024-T351, QQ-A-250/4, 1.501/2.000</v>
      </c>
    </row>
    <row r="17" spans="1:2" ht="13.8">
      <c r="A17">
        <f>'Base Material Data'!C22</f>
        <v>16</v>
      </c>
      <c r="B17" s="9" t="str">
        <f>'Base Material Data'!A23&amp;" "&amp;'Base Material Data'!B23&amp;"-"&amp;'Base Material Data'!F23&amp;", "&amp;'Base Material Data'!G23&amp;", "&amp;'Base Material Data'!I22</f>
        <v xml:space="preserve"> 2024-T351, QQ-A-250/4, 2.001/3.000</v>
      </c>
    </row>
    <row r="18" spans="1:2" ht="13.8">
      <c r="A18">
        <f>'Base Material Data'!C23</f>
        <v>17</v>
      </c>
      <c r="B18" s="9" t="str">
        <f>'Base Material Data'!A24&amp;" "&amp;'Base Material Data'!B24&amp;"-"&amp;'Base Material Data'!F24&amp;", "&amp;'Base Material Data'!G24&amp;", "&amp;'Base Material Data'!I23</f>
        <v>Extruded  2024-T3, QQ-A-250/3, 3.001/4.000</v>
      </c>
    </row>
    <row r="19" spans="1:2" ht="13.8">
      <c r="A19">
        <f>'Base Material Data'!C24</f>
        <v>18</v>
      </c>
      <c r="B19" s="9" t="str">
        <f>'Base Material Data'!A25&amp;" "&amp;'Base Material Data'!B25&amp;"-"&amp;'Base Material Data'!F25&amp;", "&amp;'Base Material Data'!G25&amp;", "&amp;'Base Material Data'!I24</f>
        <v>Extruded  2024-T3, QQ-A-250/3, 0.000/0.249</v>
      </c>
    </row>
    <row r="20" spans="1:2" ht="13.8">
      <c r="A20">
        <f>'Base Material Data'!C25</f>
        <v>19</v>
      </c>
      <c r="B20" s="9" t="str">
        <f>'Base Material Data'!A26&amp;" "&amp;'Base Material Data'!B26&amp;"-"&amp;'Base Material Data'!F26&amp;", "&amp;'Base Material Data'!G26&amp;", "&amp;'Base Material Data'!I25</f>
        <v>Extruded  2024-T3, QQ-A-250/3, 0.250/.499</v>
      </c>
    </row>
    <row r="21" spans="1:2" ht="13.8">
      <c r="A21">
        <f>'Base Material Data'!C26</f>
        <v>20</v>
      </c>
      <c r="B21" s="9" t="str">
        <f>'Base Material Data'!A27&amp;" "&amp;'Base Material Data'!B27&amp;"-"&amp;'Base Material Data'!F27&amp;", "&amp;'Base Material Data'!G27&amp;", "&amp;'Base Material Data'!I26</f>
        <v>Extruded  2024-T3, QQ-A-250/3, .500/.749</v>
      </c>
    </row>
    <row r="22" spans="1:2" ht="13.8">
      <c r="A22">
        <f>'Base Material Data'!C27</f>
        <v>21</v>
      </c>
      <c r="B22" s="9" t="str">
        <f>'Base Material Data'!A28&amp;" "&amp;'Base Material Data'!B28&amp;"-"&amp;'Base Material Data'!F28&amp;", "&amp;'Base Material Data'!G28&amp;", "&amp;'Base Material Data'!I27</f>
        <v>Extruded  2024-T3, QQ-A-250/3, .750/1.499</v>
      </c>
    </row>
    <row r="23" spans="1:2" ht="13.8">
      <c r="A23">
        <f>'Base Material Data'!C28</f>
        <v>22</v>
      </c>
      <c r="B23" s="9" t="str">
        <f>'Base Material Data'!A29&amp;" "&amp;'Base Material Data'!B29&amp;"-"&amp;'Base Material Data'!F29&amp;", "&amp;'Base Material Data'!G29&amp;", "&amp;'Base Material Data'!I28</f>
        <v>Extruded  2024-T3, QQ-A-250/3, 1.500/2.999</v>
      </c>
    </row>
    <row r="24" spans="1:2" ht="13.8">
      <c r="A24">
        <f>'Base Material Data'!C29</f>
        <v>23</v>
      </c>
      <c r="B24" s="9" t="str">
        <f>'Base Material Data'!A30&amp;" "&amp;'Base Material Data'!B30&amp;"-"&amp;'Base Material Data'!F30&amp;", "&amp;'Base Material Data'!G30&amp;", "&amp;'Base Material Data'!I29</f>
        <v>Extruded  2024-T3, QQ-A-250/3, 3.000/4.499</v>
      </c>
    </row>
    <row r="25" spans="1:2" ht="13.8">
      <c r="A25">
        <f>'Base Material Data'!C30</f>
        <v>24</v>
      </c>
      <c r="B25" s="9" t="str">
        <f>'Base Material Data'!A31&amp;" "&amp;'Base Material Data'!B31&amp;"-"&amp;'Base Material Data'!F31&amp;", "&amp;'Base Material Data'!G31&amp;", "&amp;'Base Material Data'!I30</f>
        <v>Extruded  2024-T3, QQ-A-250/3, 1.500/2.999</v>
      </c>
    </row>
    <row r="26" spans="1:2" ht="13.8">
      <c r="A26">
        <f>'Base Material Data'!C31</f>
        <v>25</v>
      </c>
      <c r="B26" s="9" t="str">
        <f>'Base Material Data'!A32&amp;" "&amp;'Base Material Data'!B32&amp;"-"&amp;'Base Material Data'!F32&amp;", "&amp;'Base Material Data'!G32&amp;", "&amp;'Base Material Data'!I31</f>
        <v>Extruded  2024-T3510, QQ-A-250/3, 3.000/4.499</v>
      </c>
    </row>
    <row r="27" spans="1:2" ht="13.8">
      <c r="A27">
        <f>'Base Material Data'!C32</f>
        <v>26</v>
      </c>
      <c r="B27" s="9" t="str">
        <f>'Base Material Data'!A33&amp;" "&amp;'Base Material Data'!B33&amp;"-"&amp;'Base Material Data'!F33&amp;", "&amp;'Base Material Data'!G33&amp;", "&amp;'Base Material Data'!I32</f>
        <v>Extruded  2024-T3510, QQ-A-250/3, 0.000/0.249</v>
      </c>
    </row>
    <row r="28" spans="1:2" ht="13.8">
      <c r="A28">
        <f>'Base Material Data'!C33</f>
        <v>27</v>
      </c>
      <c r="B28" s="9" t="str">
        <f>'Base Material Data'!A34&amp;" "&amp;'Base Material Data'!B34&amp;"-"&amp;'Base Material Data'!F34&amp;", "&amp;'Base Material Data'!G34&amp;", "&amp;'Base Material Data'!I33</f>
        <v>Extruded  2024-T3510, QQ-A-250/3, 0.250/.499</v>
      </c>
    </row>
    <row r="29" spans="1:2" ht="13.8">
      <c r="A29">
        <f>'Base Material Data'!C34</f>
        <v>28</v>
      </c>
      <c r="B29" s="9" t="str">
        <f>'Base Material Data'!A35&amp;" "&amp;'Base Material Data'!B35&amp;"-"&amp;'Base Material Data'!F35&amp;", "&amp;'Base Material Data'!G35&amp;", "&amp;'Base Material Data'!I34</f>
        <v>Extruded  2024-T3510, QQ-A-250/3, .500/.749</v>
      </c>
    </row>
    <row r="30" spans="1:2" ht="13.8">
      <c r="A30">
        <f>'Base Material Data'!C35</f>
        <v>29</v>
      </c>
      <c r="B30" s="9" t="str">
        <f>'Base Material Data'!A36&amp;" "&amp;'Base Material Data'!B36&amp;"-"&amp;'Base Material Data'!F36&amp;", "&amp;'Base Material Data'!G36&amp;", "&amp;'Base Material Data'!I35</f>
        <v>Extruded  2024-T3510, QQ-A-250/3, .750/1.499</v>
      </c>
    </row>
    <row r="31" spans="1:2" ht="13.8">
      <c r="A31">
        <f>'Base Material Data'!C36</f>
        <v>30</v>
      </c>
      <c r="B31" s="9" t="str">
        <f>'Base Material Data'!A37&amp;" "&amp;'Base Material Data'!B37&amp;"-"&amp;'Base Material Data'!F37&amp;", "&amp;'Base Material Data'!G37&amp;", "&amp;'Base Material Data'!I36</f>
        <v>Extruded  2024-T3510, QQ-A-250/3, 1.500/2.999</v>
      </c>
    </row>
    <row r="32" spans="1:2" ht="13.8">
      <c r="A32">
        <f>'Base Material Data'!C37</f>
        <v>31</v>
      </c>
      <c r="B32" s="9" t="str">
        <f>'Base Material Data'!A38&amp;" "&amp;'Base Material Data'!B38&amp;"-"&amp;'Base Material Data'!F38&amp;", "&amp;'Base Material Data'!G38&amp;", "&amp;'Base Material Data'!I37</f>
        <v>Extruded  2024-T3510, QQ-A-250/3, 3.000/4.499</v>
      </c>
    </row>
    <row r="33" spans="1:2" ht="13.8">
      <c r="A33">
        <f>'Base Material Data'!C38</f>
        <v>32</v>
      </c>
      <c r="B33" s="9" t="str">
        <f>'Base Material Data'!A39&amp;" "&amp;'Base Material Data'!B39&amp;"-"&amp;'Base Material Data'!F39&amp;", "&amp;'Base Material Data'!G39&amp;", "&amp;'Base Material Data'!I38</f>
        <v>Extruded  2024-T3510, QQ-A-250/3, 1.500/2.999</v>
      </c>
    </row>
    <row r="34" spans="1:2" ht="13.8">
      <c r="A34">
        <f>'Base Material Data'!C39</f>
        <v>33</v>
      </c>
      <c r="B34" s="9" t="str">
        <f>'Base Material Data'!A40&amp;" "&amp;'Base Material Data'!B40&amp;"-"&amp;'Base Material Data'!F40&amp;", "&amp;'Base Material Data'!G40&amp;", "&amp;'Base Material Data'!I39</f>
        <v>Extruded  2024-T3511, QQ-A-250/3, 3.000/4.499</v>
      </c>
    </row>
    <row r="35" spans="1:2" ht="13.8">
      <c r="A35">
        <f>'Base Material Data'!C40</f>
        <v>34</v>
      </c>
      <c r="B35" s="9" t="str">
        <f>'Base Material Data'!A41&amp;" "&amp;'Base Material Data'!B41&amp;"-"&amp;'Base Material Data'!F41&amp;", "&amp;'Base Material Data'!G41&amp;", "&amp;'Base Material Data'!I40</f>
        <v>Extruded  2024-T3511, QQ-A-250/3, 0.000/0.249</v>
      </c>
    </row>
    <row r="36" spans="1:2" ht="13.8">
      <c r="A36">
        <f>'Base Material Data'!C41</f>
        <v>35</v>
      </c>
      <c r="B36" s="9" t="str">
        <f>'Base Material Data'!A42&amp;" "&amp;'Base Material Data'!B42&amp;"-"&amp;'Base Material Data'!F42&amp;", "&amp;'Base Material Data'!G42&amp;", "&amp;'Base Material Data'!I41</f>
        <v>Extruded  2024-T3511, QQ-A-250/3, 0.250/.499</v>
      </c>
    </row>
    <row r="37" spans="1:2" ht="13.8">
      <c r="A37">
        <f>'Base Material Data'!C42</f>
        <v>36</v>
      </c>
      <c r="B37" s="9" t="str">
        <f>'Base Material Data'!A43&amp;" "&amp;'Base Material Data'!B43&amp;"-"&amp;'Base Material Data'!F43&amp;", "&amp;'Base Material Data'!G43&amp;", "&amp;'Base Material Data'!I42</f>
        <v>Extruded  2024-T3511, QQ-A-250/3, .500/.749</v>
      </c>
    </row>
    <row r="38" spans="1:2" ht="13.8">
      <c r="A38">
        <f>'Base Material Data'!C43</f>
        <v>37</v>
      </c>
      <c r="B38" s="9" t="str">
        <f>'Base Material Data'!A44&amp;" "&amp;'Base Material Data'!B44&amp;"-"&amp;'Base Material Data'!F44&amp;", "&amp;'Base Material Data'!G44&amp;", "&amp;'Base Material Data'!I43</f>
        <v>Extruded  2024-T3511, QQ-A-250/3, .750/1.499</v>
      </c>
    </row>
    <row r="39" spans="1:2" ht="13.8">
      <c r="A39">
        <f>'Base Material Data'!C44</f>
        <v>38</v>
      </c>
      <c r="B39" s="9" t="str">
        <f>'Base Material Data'!A45&amp;" "&amp;'Base Material Data'!B45&amp;"-"&amp;'Base Material Data'!F45&amp;", "&amp;'Base Material Data'!G45&amp;", "&amp;'Base Material Data'!I44</f>
        <v>Extruded  2024-T3511, QQ-A-250/3, 1.500/2.999</v>
      </c>
    </row>
    <row r="40" spans="1:2" ht="13.8">
      <c r="A40">
        <f>'Base Material Data'!C45</f>
        <v>39</v>
      </c>
      <c r="B40" s="9" t="str">
        <f>'Base Material Data'!A46&amp;" "&amp;'Base Material Data'!B46&amp;"-"&amp;'Base Material Data'!F46&amp;", "&amp;'Base Material Data'!G46&amp;", "&amp;'Base Material Data'!I45</f>
        <v>Extruded  2024-T3511, QQ-A-250/3, 3.000/4.499</v>
      </c>
    </row>
    <row r="41" spans="1:2" ht="13.8">
      <c r="A41">
        <f>'Base Material Data'!C46</f>
        <v>40</v>
      </c>
      <c r="B41" s="9" t="str">
        <f>'Base Material Data'!A47&amp;" "&amp;'Base Material Data'!B47&amp;"-"&amp;'Base Material Data'!F47&amp;", "&amp;'Base Material Data'!G47&amp;", "&amp;'Base Material Data'!I46</f>
        <v>Extruded  2024-T3511, QQ-A-250/3, 1.500/2.999</v>
      </c>
    </row>
    <row r="42" spans="1:2" ht="13.8">
      <c r="A42">
        <f>'Base Material Data'!C47</f>
        <v>41</v>
      </c>
      <c r="B42" s="9" t="str">
        <f>'Base Material Data'!A48&amp;" "&amp;'Base Material Data'!B48&amp;"-"&amp;'Base Material Data'!F48&amp;", "&amp;'Base Material Data'!G48&amp;", "&amp;'Base Material Data'!I47</f>
        <v xml:space="preserve"> 2024-T4,  , 3.000/4.499</v>
      </c>
    </row>
    <row r="43" spans="1:2" ht="13.8">
      <c r="A43">
        <f>'Base Material Data'!C48</f>
        <v>42</v>
      </c>
      <c r="B43" s="9" t="str">
        <f>'Base Material Data'!A49&amp;" "&amp;'Base Material Data'!B49&amp;"-"&amp;'Base Material Data'!F49&amp;", "&amp;'Base Material Data'!G49&amp;", "&amp;'Base Material Data'!I48</f>
        <v xml:space="preserve"> 2024-T42, QQ-A-250/4, </v>
      </c>
    </row>
    <row r="44" spans="1:2" ht="13.8">
      <c r="A44">
        <f>'Base Material Data'!C49</f>
        <v>43</v>
      </c>
      <c r="B44" s="9" t="str">
        <f>'Base Material Data'!A50&amp;" "&amp;'Base Material Data'!B50&amp;"-"&amp;'Base Material Data'!F50&amp;", "&amp;'Base Material Data'!G50&amp;", "&amp;'Base Material Data'!I49</f>
        <v xml:space="preserve"> 2024-T42, QQ-A-250/4, 0.010/0.249</v>
      </c>
    </row>
    <row r="45" spans="1:2" ht="13.8">
      <c r="A45">
        <f>'Base Material Data'!C50</f>
        <v>44</v>
      </c>
      <c r="B45" s="9" t="str">
        <f>'Base Material Data'!A51&amp;" "&amp;'Base Material Data'!B51&amp;"-"&amp;'Base Material Data'!F51&amp;", "&amp;'Base Material Data'!G51&amp;", "&amp;'Base Material Data'!I50</f>
        <v xml:space="preserve"> 2024-T42, QQ-A-250/4, 0.250/0.499</v>
      </c>
    </row>
    <row r="46" spans="1:2" ht="13.8">
      <c r="A46">
        <f>'Base Material Data'!C51</f>
        <v>45</v>
      </c>
      <c r="B46" s="9" t="str">
        <f>'Base Material Data'!A52&amp;" "&amp;'Base Material Data'!B52&amp;"-"&amp;'Base Material Data'!F52&amp;", "&amp;'Base Material Data'!G52&amp;", "&amp;'Base Material Data'!I51</f>
        <v xml:space="preserve"> 2024-T42, QQ-A-250/4, 0.500/1.000</v>
      </c>
    </row>
    <row r="47" spans="1:2" ht="13.8">
      <c r="A47">
        <f>'Base Material Data'!C52</f>
        <v>46</v>
      </c>
      <c r="B47" s="9" t="str">
        <f>'Base Material Data'!A53&amp;" "&amp;'Base Material Data'!B53&amp;"-"&amp;'Base Material Data'!F53&amp;", "&amp;'Base Material Data'!G53&amp;", "&amp;'Base Material Data'!I52</f>
        <v xml:space="preserve"> 2024-T42, QQ-A-250/4, 1.001/2.000</v>
      </c>
    </row>
    <row r="48" spans="1:2" ht="13.8">
      <c r="A48">
        <f>'Base Material Data'!C53</f>
        <v>47</v>
      </c>
      <c r="B48" s="9" t="str">
        <f>'Base Material Data'!A54&amp;" "&amp;'Base Material Data'!B54&amp;"-"&amp;'Base Material Data'!F54&amp;", "&amp;'Base Material Data'!G54&amp;", "&amp;'Base Material Data'!I53</f>
        <v>Extruded  2024-T42, QQ-A-200/3, 2.001/3.000</v>
      </c>
    </row>
    <row r="49" spans="1:2" ht="13.8">
      <c r="A49">
        <f>'Base Material Data'!C54</f>
        <v>48</v>
      </c>
      <c r="B49" s="9" t="str">
        <f>'Base Material Data'!A55&amp;" "&amp;'Base Material Data'!B55&amp;"-"&amp;'Base Material Data'!F55&amp;", "&amp;'Base Material Data'!G55&amp;", "&amp;'Base Material Data'!I54</f>
        <v>Extruded  2024-T42, QQ-A-200/3, 000/.249</v>
      </c>
    </row>
    <row r="50" spans="1:2" ht="13.8">
      <c r="A50">
        <f>'Base Material Data'!C55</f>
        <v>49</v>
      </c>
      <c r="B50" s="9" t="str">
        <f>'Base Material Data'!A56&amp;" "&amp;'Base Material Data'!B56&amp;"-"&amp;'Base Material Data'!F56&amp;", "&amp;'Base Material Data'!G56&amp;", "&amp;'Base Material Data'!I55</f>
        <v>Extruded  2024-T42, QQ-A-200/3, 0.250/.499</v>
      </c>
    </row>
    <row r="51" spans="1:2" ht="13.8">
      <c r="A51">
        <f>'Base Material Data'!C56</f>
        <v>50</v>
      </c>
      <c r="B51" s="9" t="str">
        <f>'Base Material Data'!A57&amp;" "&amp;'Base Material Data'!B57&amp;"-"&amp;'Base Material Data'!F57&amp;", "&amp;'Base Material Data'!G57&amp;", "&amp;'Base Material Data'!I56</f>
        <v>Extruded  2024-T42, QQ-A-200/3, .500/.749</v>
      </c>
    </row>
    <row r="52" spans="1:2" ht="13.8">
      <c r="A52">
        <f>'Base Material Data'!C57</f>
        <v>51</v>
      </c>
      <c r="B52" s="9" t="str">
        <f>'Base Material Data'!A58&amp;" "&amp;'Base Material Data'!B58&amp;"-"&amp;'Base Material Data'!F58&amp;", "&amp;'Base Material Data'!G58&amp;", "&amp;'Base Material Data'!I57</f>
        <v>Extruded  2024-T42, QQ-A-200/3, .75/.999</v>
      </c>
    </row>
    <row r="53" spans="1:2" ht="13.8">
      <c r="A53">
        <f>'Base Material Data'!C58</f>
        <v>52</v>
      </c>
      <c r="B53" s="9" t="str">
        <f>'Base Material Data'!A59&amp;" "&amp;'Base Material Data'!B59&amp;"-"&amp;'Base Material Data'!F59&amp;", "&amp;'Base Material Data'!G59&amp;", "&amp;'Base Material Data'!I58</f>
        <v>Extruded  2024-T42, QQ-A-200/3, 1.000/1.249</v>
      </c>
    </row>
    <row r="54" spans="1:2" ht="13.8">
      <c r="A54">
        <f>'Base Material Data'!C59</f>
        <v>53</v>
      </c>
      <c r="B54" s="9" t="str">
        <f>'Base Material Data'!A60&amp;" "&amp;'Base Material Data'!B60&amp;"-"&amp;'Base Material Data'!F60&amp;", "&amp;'Base Material Data'!G60&amp;", "&amp;'Base Material Data'!I59</f>
        <v>Extruded  2024-T42, QQ-A-200/3, 1.250/1.499</v>
      </c>
    </row>
    <row r="55" spans="1:2" ht="13.8">
      <c r="A55">
        <f>'Base Material Data'!C60</f>
        <v>54</v>
      </c>
      <c r="B55" s="9" t="str">
        <f>'Base Material Data'!A61&amp;" "&amp;'Base Material Data'!B61&amp;"-"&amp;'Base Material Data'!F61&amp;", "&amp;'Base Material Data'!G61&amp;", "&amp;'Base Material Data'!I60</f>
        <v>Extruded  2024-T42, QQ-A-200/3, 1.500/1.749</v>
      </c>
    </row>
    <row r="56" spans="1:2" ht="13.8">
      <c r="A56">
        <f>'Base Material Data'!C61</f>
        <v>55</v>
      </c>
      <c r="B56" s="9" t="str">
        <f>'Base Material Data'!A62&amp;" "&amp;'Base Material Data'!B62&amp;"-"&amp;'Base Material Data'!F62&amp;", "&amp;'Base Material Data'!G62&amp;", "&amp;'Base Material Data'!I61</f>
        <v>Extruded  2024-T42, QQ-A-200/3, 1.750/1.999</v>
      </c>
    </row>
    <row r="57" spans="1:2" ht="13.8">
      <c r="A57">
        <f>'Base Material Data'!C62</f>
        <v>56</v>
      </c>
      <c r="B57" s="9" t="str">
        <f>'Base Material Data'!A63&amp;" "&amp;'Base Material Data'!B63&amp;"-"&amp;'Base Material Data'!F63&amp;", "&amp;'Base Material Data'!G63&amp;", "&amp;'Base Material Data'!I62</f>
        <v>Extruded  2024-T42, QQ-A-200/3, 2.000/2.249</v>
      </c>
    </row>
    <row r="58" spans="1:2" ht="13.8">
      <c r="A58">
        <f>'Base Material Data'!C63</f>
        <v>57</v>
      </c>
      <c r="B58" s="9" t="str">
        <f>'Base Material Data'!A64&amp;" "&amp;'Base Material Data'!B64&amp;"-"&amp;'Base Material Data'!F64&amp;", "&amp;'Base Material Data'!G64&amp;", "&amp;'Base Material Data'!I63</f>
        <v xml:space="preserve"> 2024-T6,  , 2.250/2.499</v>
      </c>
    </row>
    <row r="59" spans="1:2" ht="13.8">
      <c r="A59">
        <f>'Base Material Data'!C64</f>
        <v>58</v>
      </c>
      <c r="B59" s="9" t="str">
        <f>'Base Material Data'!A65&amp;" "&amp;'Base Material Data'!B65&amp;"-"&amp;'Base Material Data'!F65&amp;", "&amp;'Base Material Data'!G65&amp;", "&amp;'Base Material Data'!I64</f>
        <v xml:space="preserve"> 6061-T4, QQ-A-250/11, </v>
      </c>
    </row>
    <row r="60" spans="1:2" ht="13.8">
      <c r="A60">
        <f>'Base Material Data'!C65</f>
        <v>59</v>
      </c>
      <c r="B60" s="9" t="str">
        <f>'Base Material Data'!A66&amp;" "&amp;'Base Material Data'!B66&amp;"-"&amp;'Base Material Data'!F66&amp;", "&amp;'Base Material Data'!G66&amp;", "&amp;'Base Material Data'!I65</f>
        <v xml:space="preserve"> 6061-T6, QQ-A-250/11, 0.010/0.249</v>
      </c>
    </row>
    <row r="61" spans="1:2" ht="13.8">
      <c r="A61">
        <f>'Base Material Data'!C66</f>
        <v>60</v>
      </c>
      <c r="B61" s="9" t="str">
        <f>'Base Material Data'!A67&amp;" "&amp;'Base Material Data'!B67&amp;"-"&amp;'Base Material Data'!F67&amp;", "&amp;'Base Material Data'!G67&amp;", "&amp;'Base Material Data'!I66</f>
        <v xml:space="preserve"> 6061-T62, QQ-A-250/11, 0.010/0.249</v>
      </c>
    </row>
    <row r="62" spans="1:2" ht="13.8">
      <c r="A62">
        <f>'Base Material Data'!C67</f>
        <v>61</v>
      </c>
      <c r="B62" s="9" t="str">
        <f>'Base Material Data'!A68&amp;" "&amp;'Base Material Data'!B68&amp;"-"&amp;'Base Material Data'!F68&amp;", "&amp;'Base Material Data'!G68&amp;", "&amp;'Base Material Data'!I67</f>
        <v xml:space="preserve"> 6061-T62, QQ-A-250/11, 0.010/0.249</v>
      </c>
    </row>
    <row r="63" spans="1:2" ht="13.8">
      <c r="A63">
        <f>'Base Material Data'!C68</f>
        <v>62</v>
      </c>
      <c r="B63" s="9" t="str">
        <f>'Base Material Data'!A69&amp;" "&amp;'Base Material Data'!B69&amp;"-"&amp;'Base Material Data'!F69&amp;", "&amp;'Base Material Data'!G69&amp;", "&amp;'Base Material Data'!I68</f>
        <v xml:space="preserve"> 7075-T6, QQ-A-250/12, 0.250/2.000</v>
      </c>
    </row>
    <row r="64" spans="1:2" ht="13.8">
      <c r="A64">
        <f>'Base Material Data'!C69</f>
        <v>63</v>
      </c>
      <c r="B64" s="9" t="str">
        <f>'Base Material Data'!A70&amp;" "&amp;'Base Material Data'!B70&amp;"-"&amp;'Base Material Data'!F70&amp;", "&amp;'Base Material Data'!G70&amp;", "&amp;'Base Material Data'!I69</f>
        <v xml:space="preserve"> 7075-T6, QQ-A-250/12, 0.008/0.011</v>
      </c>
    </row>
    <row r="65" spans="1:2" ht="13.8">
      <c r="A65">
        <f>'Base Material Data'!C70</f>
        <v>64</v>
      </c>
      <c r="B65" s="9" t="str">
        <f>'Base Material Data'!A71&amp;" "&amp;'Base Material Data'!B71&amp;"-"&amp;'Base Material Data'!F71&amp;", "&amp;'Base Material Data'!G71&amp;", "&amp;'Base Material Data'!I70</f>
        <v xml:space="preserve"> 7075-T6, QQ-A-250/12, 0.012/0.039</v>
      </c>
    </row>
    <row r="66" spans="1:2" ht="13.8">
      <c r="A66">
        <f>'Base Material Data'!C71</f>
        <v>65</v>
      </c>
      <c r="B66" s="9" t="str">
        <f>'Base Material Data'!A72&amp;" "&amp;'Base Material Data'!B72&amp;"-"&amp;'Base Material Data'!F72&amp;", "&amp;'Base Material Data'!G72&amp;", "&amp;'Base Material Data'!I71</f>
        <v xml:space="preserve"> 7075-T6, QQ-A-250/12, 0.040/0.125</v>
      </c>
    </row>
    <row r="67" spans="1:2" ht="13.8">
      <c r="A67">
        <f>'Base Material Data'!C72</f>
        <v>66</v>
      </c>
      <c r="B67" s="9" t="str">
        <f>'Base Material Data'!A73&amp;" "&amp;'Base Material Data'!B73&amp;"-"&amp;'Base Material Data'!F73&amp;", "&amp;'Base Material Data'!G73&amp;", "&amp;'Base Material Data'!I72</f>
        <v xml:space="preserve"> 7075-T62, QQ-A-250/12, 0.126/0.249</v>
      </c>
    </row>
    <row r="68" spans="1:2" ht="13.8">
      <c r="A68">
        <f>'Base Material Data'!C73</f>
        <v>67</v>
      </c>
      <c r="B68" s="9" t="str">
        <f>'Base Material Data'!A74&amp;" "&amp;'Base Material Data'!B74&amp;"-"&amp;'Base Material Data'!F74&amp;", "&amp;'Base Material Data'!G74&amp;", "&amp;'Base Material Data'!I73</f>
        <v xml:space="preserve"> 7075-T62, QQ-A-250/12, 0.008/0.011</v>
      </c>
    </row>
    <row r="69" spans="1:2" ht="13.8">
      <c r="A69">
        <f>'Base Material Data'!C74</f>
        <v>68</v>
      </c>
      <c r="B69" s="9" t="str">
        <f>'Base Material Data'!A75&amp;" "&amp;'Base Material Data'!B75&amp;"-"&amp;'Base Material Data'!F75&amp;", "&amp;'Base Material Data'!G75&amp;", "&amp;'Base Material Data'!I74</f>
        <v xml:space="preserve"> 7075-T62, QQ-A-250/12, 0.012/0.039</v>
      </c>
    </row>
    <row r="70" spans="1:2" ht="13.8">
      <c r="A70">
        <f>'Base Material Data'!C75</f>
        <v>69</v>
      </c>
      <c r="B70" s="9" t="str">
        <f>'Base Material Data'!A76&amp;" "&amp;'Base Material Data'!B76&amp;"-"&amp;'Base Material Data'!F76&amp;", "&amp;'Base Material Data'!G76&amp;", "&amp;'Base Material Data'!I75</f>
        <v xml:space="preserve"> 7075-T62, QQ-A-250/12, 0.040/0.125</v>
      </c>
    </row>
    <row r="71" spans="1:2" ht="13.8">
      <c r="A71">
        <f>'Base Material Data'!C76</f>
        <v>70</v>
      </c>
      <c r="B71" s="9" t="str">
        <f>'Base Material Data'!A77&amp;" "&amp;'Base Material Data'!B77&amp;"-"&amp;'Base Material Data'!F77&amp;", "&amp;'Base Material Data'!G77&amp;", "&amp;'Base Material Data'!I76</f>
        <v xml:space="preserve"> 7075-T651, QQ-A-250/12, 0.126/0.249</v>
      </c>
    </row>
    <row r="72" spans="1:2" ht="13.8">
      <c r="A72">
        <f>'Base Material Data'!C77</f>
        <v>71</v>
      </c>
      <c r="B72" s="9" t="str">
        <f>'Base Material Data'!A78&amp;" "&amp;'Base Material Data'!B78&amp;"-"&amp;'Base Material Data'!F78&amp;", "&amp;'Base Material Data'!G78&amp;", "&amp;'Base Material Data'!I77</f>
        <v xml:space="preserve"> 7075-T651, QQ-A-250/12, 0.250/0.499</v>
      </c>
    </row>
    <row r="73" spans="1:2" ht="13.8">
      <c r="A73">
        <f>'Base Material Data'!C78</f>
        <v>72</v>
      </c>
      <c r="B73" s="9" t="str">
        <f>'Base Material Data'!A79&amp;" "&amp;'Base Material Data'!B79&amp;"-"&amp;'Base Material Data'!F79&amp;", "&amp;'Base Material Data'!G79&amp;", "&amp;'Base Material Data'!I78</f>
        <v xml:space="preserve"> 7075-T651, QQ-A-250/12, 0.500/1.000</v>
      </c>
    </row>
    <row r="74" spans="1:2" ht="13.8">
      <c r="A74">
        <f>'Base Material Data'!C79</f>
        <v>73</v>
      </c>
      <c r="B74" s="9" t="str">
        <f>'Base Material Data'!A80&amp;" "&amp;'Base Material Data'!B80&amp;"-"&amp;'Base Material Data'!F80&amp;", "&amp;'Base Material Data'!G80&amp;", "&amp;'Base Material Data'!I79</f>
        <v xml:space="preserve"> 7075-T651, QQ-A-250/12, 1.001/2.000</v>
      </c>
    </row>
    <row r="75" spans="1:2" ht="13.8">
      <c r="A75">
        <f>'Base Material Data'!C80</f>
        <v>74</v>
      </c>
      <c r="B75" s="9" t="str">
        <f>'Base Material Data'!A81&amp;" "&amp;'Base Material Data'!B81&amp;"-"&amp;'Base Material Data'!F81&amp;", "&amp;'Base Material Data'!G81&amp;", "&amp;'Base Material Data'!I80</f>
        <v xml:space="preserve"> 7075-T651, QQ-A-250/12, 2.001/2.500</v>
      </c>
    </row>
    <row r="76" spans="1:2" ht="13.8">
      <c r="A76">
        <f>'Base Material Data'!C81</f>
        <v>75</v>
      </c>
      <c r="B76" s="9" t="str">
        <f>'Base Material Data'!A82&amp;" "&amp;'Base Material Data'!B82&amp;"-"&amp;'Base Material Data'!F82&amp;", "&amp;'Base Material Data'!G82&amp;", "&amp;'Base Material Data'!I81</f>
        <v xml:space="preserve"> 7075-T651, QQ-A-250/12, 2.501/3.000</v>
      </c>
    </row>
    <row r="77" spans="1:2" ht="13.8">
      <c r="A77">
        <f>'Base Material Data'!C82</f>
        <v>76</v>
      </c>
      <c r="B77" s="9" t="str">
        <f>'Base Material Data'!A83&amp;" "&amp;'Base Material Data'!B83&amp;"-"&amp;'Base Material Data'!F83&amp;", "&amp;'Base Material Data'!G83&amp;", "&amp;'Base Material Data'!I82</f>
        <v xml:space="preserve"> 7075-T651, QQ-A-250/12, 3.001/3.500</v>
      </c>
    </row>
    <row r="78" spans="1:2" ht="13.8">
      <c r="A78">
        <f>'Base Material Data'!C83</f>
        <v>77</v>
      </c>
      <c r="B78" s="9" t="str">
        <f>'Base Material Data'!A84&amp;" "&amp;'Base Material Data'!B84&amp;"-"&amp;'Base Material Data'!F84&amp;", "&amp;'Base Material Data'!G84&amp;", "&amp;'Base Material Data'!I83</f>
        <v>Extruded  7075-T6, QQ-A-250/11, 3.501/4.000</v>
      </c>
    </row>
    <row r="79" spans="1:2" ht="13.8">
      <c r="A79">
        <f>'Base Material Data'!C84</f>
        <v>78</v>
      </c>
      <c r="B79" s="9" t="str">
        <f>'Base Material Data'!A85&amp;" "&amp;'Base Material Data'!B85&amp;"-"&amp;'Base Material Data'!F85&amp;", "&amp;'Base Material Data'!G85&amp;", "&amp;'Base Material Data'!I84</f>
        <v>Extruded  7075-T6, QQ-A-250/11, 0.000/0.249</v>
      </c>
    </row>
    <row r="80" spans="1:2" ht="13.8">
      <c r="A80">
        <f>'Base Material Data'!C85</f>
        <v>79</v>
      </c>
      <c r="B80" s="9" t="str">
        <f>'Base Material Data'!A86&amp;" "&amp;'Base Material Data'!B86&amp;"-"&amp;'Base Material Data'!F86&amp;", "&amp;'Base Material Data'!G86&amp;", "&amp;'Base Material Data'!I85</f>
        <v>Extruded  7075-T6, QQ-A-250/11, .249/.499</v>
      </c>
    </row>
    <row r="81" spans="1:2" ht="13.8">
      <c r="A81">
        <f>'Base Material Data'!C86</f>
        <v>80</v>
      </c>
      <c r="B81" s="9" t="str">
        <f>'Base Material Data'!A87&amp;" "&amp;'Base Material Data'!B87&amp;"-"&amp;'Base Material Data'!F87&amp;", "&amp;'Base Material Data'!G87&amp;", "&amp;'Base Material Data'!I86</f>
        <v>Extruded  7075-T6, QQ-A-250/11, .500/.749</v>
      </c>
    </row>
    <row r="82" spans="1:2" ht="13.8">
      <c r="A82">
        <f>'Base Material Data'!C87</f>
        <v>81</v>
      </c>
      <c r="B82" s="9" t="str">
        <f>'Base Material Data'!A88&amp;" "&amp;'Base Material Data'!B88&amp;"-"&amp;'Base Material Data'!F88&amp;", "&amp;'Base Material Data'!G88&amp;", "&amp;'Base Material Data'!I87</f>
        <v>Extruded  7075-T6, QQ-A-250/11, .750/1.499</v>
      </c>
    </row>
    <row r="83" spans="1:2" ht="13.8">
      <c r="A83">
        <f>'Base Material Data'!C88</f>
        <v>82</v>
      </c>
      <c r="B83" s="9" t="str">
        <f>'Base Material Data'!A89&amp;" "&amp;'Base Material Data'!B89&amp;"-"&amp;'Base Material Data'!F89&amp;", "&amp;'Base Material Data'!G89&amp;", "&amp;'Base Material Data'!I88</f>
        <v>Extruded  7075-T6, QQ-A-250/11, 1.500/2.999</v>
      </c>
    </row>
    <row r="84" spans="1:2" ht="13.8">
      <c r="A84">
        <f>'Base Material Data'!C89</f>
        <v>83</v>
      </c>
      <c r="B84" s="9" t="str">
        <f>'Base Material Data'!A90&amp;" "&amp;'Base Material Data'!B90&amp;"-"&amp;'Base Material Data'!F90&amp;", "&amp;'Base Material Data'!G90&amp;", "&amp;'Base Material Data'!I89</f>
        <v>Extruded  7075-T6, QQ-A-250/11, 3.000/4.499</v>
      </c>
    </row>
    <row r="85" spans="1:2" ht="13.8">
      <c r="A85">
        <f>'Base Material Data'!C90</f>
        <v>84</v>
      </c>
      <c r="B85" s="9" t="str">
        <f>'Base Material Data'!A91&amp;" "&amp;'Base Material Data'!B91&amp;"-"&amp;'Base Material Data'!F91&amp;", "&amp;'Base Material Data'!G91&amp;", "&amp;'Base Material Data'!I90</f>
        <v>Extruded  7075-T6, QQ-A-250/11, 3.000/4.499</v>
      </c>
    </row>
    <row r="86" spans="1:2" ht="13.8">
      <c r="A86">
        <f>'Base Material Data'!C91</f>
        <v>85</v>
      </c>
      <c r="B86" s="9" t="str">
        <f>'Base Material Data'!A92&amp;" "&amp;'Base Material Data'!B92&amp;"-"&amp;'Base Material Data'!F92&amp;", "&amp;'Base Material Data'!G92&amp;", "&amp;'Base Material Data'!I91</f>
        <v>Extruded  7075-T6510, QQ-A-250/11, 4.500/5.000</v>
      </c>
    </row>
    <row r="87" spans="1:2" ht="13.8">
      <c r="A87">
        <f>'Base Material Data'!C92</f>
        <v>86</v>
      </c>
      <c r="B87" s="9" t="str">
        <f>'Base Material Data'!A93&amp;" "&amp;'Base Material Data'!B93&amp;"-"&amp;'Base Material Data'!F93&amp;", "&amp;'Base Material Data'!G93&amp;", "&amp;'Base Material Data'!I92</f>
        <v>Extruded  7075-T6510, QQ-A-250/11, 0.000/0.249</v>
      </c>
    </row>
    <row r="88" spans="1:2" ht="13.8">
      <c r="A88">
        <f>'Base Material Data'!C93</f>
        <v>87</v>
      </c>
      <c r="B88" s="9" t="str">
        <f>'Base Material Data'!A94&amp;" "&amp;'Base Material Data'!B94&amp;"-"&amp;'Base Material Data'!F94&amp;", "&amp;'Base Material Data'!G94&amp;", "&amp;'Base Material Data'!I93</f>
        <v>Extruded  7075-T6510, QQ-A-250/11, .249/.499</v>
      </c>
    </row>
    <row r="89" spans="1:2" ht="13.8">
      <c r="A89">
        <f>'Base Material Data'!C94</f>
        <v>88</v>
      </c>
      <c r="B89" s="9" t="str">
        <f>'Base Material Data'!A95&amp;" "&amp;'Base Material Data'!B95&amp;"-"&amp;'Base Material Data'!F95&amp;", "&amp;'Base Material Data'!G95&amp;", "&amp;'Base Material Data'!I94</f>
        <v>Extruded  7075-T6510, QQ-A-250/11, .500/.749</v>
      </c>
    </row>
    <row r="90" spans="1:2" ht="13.8">
      <c r="A90">
        <f>'Base Material Data'!C95</f>
        <v>89</v>
      </c>
      <c r="B90" s="9" t="str">
        <f>'Base Material Data'!A96&amp;" "&amp;'Base Material Data'!B96&amp;"-"&amp;'Base Material Data'!F96&amp;", "&amp;'Base Material Data'!G96&amp;", "&amp;'Base Material Data'!I95</f>
        <v>Extruded  7075-T6510, QQ-A-250/11, .750/1.499</v>
      </c>
    </row>
    <row r="91" spans="1:2" ht="13.8">
      <c r="A91">
        <f>'Base Material Data'!C96</f>
        <v>90</v>
      </c>
      <c r="B91" s="9" t="str">
        <f>'Base Material Data'!A97&amp;" "&amp;'Base Material Data'!B97&amp;"-"&amp;'Base Material Data'!F97&amp;", "&amp;'Base Material Data'!G97&amp;", "&amp;'Base Material Data'!I96</f>
        <v>Extruded  7075-T6510, QQ-A-250/11, 1.500/2.999</v>
      </c>
    </row>
    <row r="92" spans="1:2" ht="13.8">
      <c r="A92">
        <f>'Base Material Data'!C97</f>
        <v>91</v>
      </c>
      <c r="B92" s="9" t="str">
        <f>'Base Material Data'!A98&amp;" "&amp;'Base Material Data'!B98&amp;"-"&amp;'Base Material Data'!F98&amp;", "&amp;'Base Material Data'!G98&amp;", "&amp;'Base Material Data'!I97</f>
        <v>Extruded  7075-T6510, QQ-A-250/11, 3.000/4.499</v>
      </c>
    </row>
    <row r="93" spans="1:2" ht="13.8">
      <c r="A93">
        <f>'Base Material Data'!C98</f>
        <v>92</v>
      </c>
      <c r="B93" s="9" t="str">
        <f>'Base Material Data'!A99&amp;" "&amp;'Base Material Data'!B99&amp;"-"&amp;'Base Material Data'!F99&amp;", "&amp;'Base Material Data'!G99&amp;", "&amp;'Base Material Data'!I98</f>
        <v>Extruded  7075-T6510, QQ-A-250/11, 3.000/4.499</v>
      </c>
    </row>
    <row r="94" spans="1:2" ht="13.8">
      <c r="A94">
        <f>'Base Material Data'!C99</f>
        <v>93</v>
      </c>
      <c r="B94" s="9" t="str">
        <f>'Base Material Data'!A100&amp;" "&amp;'Base Material Data'!B100&amp;"-"&amp;'Base Material Data'!F100&amp;", "&amp;'Base Material Data'!G100&amp;", "&amp;'Base Material Data'!I99</f>
        <v>Extruded  7075-T6511, QQ-A-250/11, 4.500/5.000</v>
      </c>
    </row>
    <row r="95" spans="1:2" ht="13.8">
      <c r="A95">
        <f>'Base Material Data'!C100</f>
        <v>94</v>
      </c>
      <c r="B95" s="9" t="str">
        <f>'Base Material Data'!A101&amp;" "&amp;'Base Material Data'!B101&amp;"-"&amp;'Base Material Data'!F101&amp;", "&amp;'Base Material Data'!G101&amp;", "&amp;'Base Material Data'!I100</f>
        <v>Extruded  7075-T6511, QQ-A-250/11, 0.000/0.249</v>
      </c>
    </row>
    <row r="96" spans="1:2" ht="13.8">
      <c r="A96">
        <f>'Base Material Data'!C101</f>
        <v>95</v>
      </c>
      <c r="B96" s="9" t="str">
        <f>'Base Material Data'!A102&amp;" "&amp;'Base Material Data'!B102&amp;"-"&amp;'Base Material Data'!F102&amp;", "&amp;'Base Material Data'!G102&amp;", "&amp;'Base Material Data'!I101</f>
        <v>Extruded  7075-T6511, QQ-A-250/11, .249/.499</v>
      </c>
    </row>
    <row r="97" spans="1:2" ht="13.8">
      <c r="A97">
        <f>'Base Material Data'!C102</f>
        <v>96</v>
      </c>
      <c r="B97" s="9" t="str">
        <f>'Base Material Data'!A103&amp;" "&amp;'Base Material Data'!B103&amp;"-"&amp;'Base Material Data'!F103&amp;", "&amp;'Base Material Data'!G103&amp;", "&amp;'Base Material Data'!I102</f>
        <v>Extruded  7075-T6511, QQ-A-250/11, .500/.749</v>
      </c>
    </row>
    <row r="98" spans="1:2" ht="13.8">
      <c r="A98">
        <f>'Base Material Data'!C103</f>
        <v>97</v>
      </c>
      <c r="B98" s="9" t="str">
        <f>'Base Material Data'!A104&amp;" "&amp;'Base Material Data'!B104&amp;"-"&amp;'Base Material Data'!F104&amp;", "&amp;'Base Material Data'!G104&amp;", "&amp;'Base Material Data'!I103</f>
        <v>Extruded  7075-T6511, QQ-A-250/11, .750/1.499</v>
      </c>
    </row>
    <row r="99" spans="1:2" ht="13.8">
      <c r="A99">
        <f>'Base Material Data'!C104</f>
        <v>98</v>
      </c>
      <c r="B99" s="9" t="str">
        <f>'Base Material Data'!A105&amp;" "&amp;'Base Material Data'!B105&amp;"-"&amp;'Base Material Data'!F105&amp;", "&amp;'Base Material Data'!G105&amp;", "&amp;'Base Material Data'!I104</f>
        <v>Extruded  7075-T6511, QQ-A-250/11, 1.500/2.999</v>
      </c>
    </row>
    <row r="100" spans="1:2" ht="13.8">
      <c r="A100">
        <f>'Base Material Data'!C105</f>
        <v>99</v>
      </c>
      <c r="B100" s="9" t="str">
        <f>'Base Material Data'!A106&amp;" "&amp;'Base Material Data'!B106&amp;"-"&amp;'Base Material Data'!F106&amp;", "&amp;'Base Material Data'!G106&amp;", "&amp;'Base Material Data'!I105</f>
        <v>Extruded  7075-T6511, QQ-A-250/11, 3.000/4.499</v>
      </c>
    </row>
    <row r="101" spans="1:2" ht="13.8">
      <c r="A101">
        <f>'Base Material Data'!C106</f>
        <v>100</v>
      </c>
      <c r="B101" s="9" t="str">
        <f>'Base Material Data'!A107&amp;" "&amp;'Base Material Data'!B107&amp;"-"&amp;'Base Material Data'!F107&amp;", "&amp;'Base Material Data'!G107&amp;", "&amp;'Base Material Data'!I106</f>
        <v>Extruded  7075-T6511, QQ-A-250/11, 3.000/4.499</v>
      </c>
    </row>
    <row r="102" spans="1:2" ht="13.8">
      <c r="A102">
        <f>'Base Material Data'!C107</f>
        <v>101</v>
      </c>
      <c r="B102" s="9" t="str">
        <f>'Base Material Data'!A108&amp;" "&amp;'Base Material Data'!B108&amp;"-"&amp;'Base Material Data'!F108&amp;", "&amp;'Base Material Data'!G108&amp;", "&amp;'Base Material Data'!I107</f>
        <v>Extruded  7075-T62, QQ-A-250/11, 4.500/5.000</v>
      </c>
    </row>
    <row r="103" spans="1:2" ht="13.8">
      <c r="A103">
        <f>'Base Material Data'!C108</f>
        <v>102</v>
      </c>
      <c r="B103" s="9" t="str">
        <f>'Base Material Data'!A109&amp;" "&amp;'Base Material Data'!B109&amp;"-"&amp;'Base Material Data'!F109&amp;", "&amp;'Base Material Data'!G109&amp;", "&amp;'Base Material Data'!I108</f>
        <v>Extruded  7075-T62, QQ-A-250/11, 0.000/0.249</v>
      </c>
    </row>
    <row r="104" spans="1:2" ht="13.8">
      <c r="A104">
        <f>'Base Material Data'!C109</f>
        <v>103</v>
      </c>
      <c r="B104" s="9" t="str">
        <f>'Base Material Data'!A110&amp;" "&amp;'Base Material Data'!B110&amp;"-"&amp;'Base Material Data'!F110&amp;", "&amp;'Base Material Data'!G110&amp;", "&amp;'Base Material Data'!I109</f>
        <v>Extruded  7075-T62, QQ-A-250/11, .249/.499</v>
      </c>
    </row>
    <row r="105" spans="1:2" ht="13.8">
      <c r="A105">
        <f>'Base Material Data'!C110</f>
        <v>104</v>
      </c>
      <c r="B105" s="9" t="str">
        <f>'Base Material Data'!A111&amp;" "&amp;'Base Material Data'!B111&amp;"-"&amp;'Base Material Data'!F111&amp;", "&amp;'Base Material Data'!G111&amp;", "&amp;'Base Material Data'!I110</f>
        <v>Extruded  7075-T62, QQ-A-250/11, .500/.749</v>
      </c>
    </row>
    <row r="106" spans="1:2" ht="13.8">
      <c r="A106">
        <f>'Base Material Data'!C111</f>
        <v>105</v>
      </c>
      <c r="B106" s="9" t="str">
        <f>'Base Material Data'!A112&amp;" "&amp;'Base Material Data'!B112&amp;"-"&amp;'Base Material Data'!F112&amp;", "&amp;'Base Material Data'!G112&amp;", "&amp;'Base Material Data'!I111</f>
        <v>Extruded  7075-T62, QQ-A-250/11, .750/1.499</v>
      </c>
    </row>
    <row r="107" spans="1:2" ht="13.8">
      <c r="A107">
        <f>'Base Material Data'!C112</f>
        <v>106</v>
      </c>
      <c r="B107" s="9" t="str">
        <f>'Base Material Data'!A113&amp;" "&amp;'Base Material Data'!B113&amp;"-"&amp;'Base Material Data'!F113&amp;", "&amp;'Base Material Data'!G113&amp;", "&amp;'Base Material Data'!I112</f>
        <v>Extruded  7075-T62, QQ-A-250/11, 1.500/2.999</v>
      </c>
    </row>
    <row r="108" spans="1:2" ht="13.8">
      <c r="A108">
        <f>'Base Material Data'!C113</f>
        <v>107</v>
      </c>
      <c r="B108" s="9" t="str">
        <f>'Base Material Data'!A114&amp;" "&amp;'Base Material Data'!B114&amp;"-"&amp;'Base Material Data'!F114&amp;", "&amp;'Base Material Data'!G114&amp;", "&amp;'Base Material Data'!I113</f>
        <v>Extruded  7075-T62, QQ-A-250/11, 3.000/4.499</v>
      </c>
    </row>
    <row r="109" spans="1:2" ht="13.8">
      <c r="A109">
        <f>'Base Material Data'!C114</f>
        <v>108</v>
      </c>
      <c r="B109" s="9" t="str">
        <f>'Base Material Data'!A115&amp;" "&amp;'Base Material Data'!B115&amp;"-"&amp;'Base Material Data'!F115&amp;", "&amp;'Base Material Data'!G115&amp;", "&amp;'Base Material Data'!I114</f>
        <v>Extruded  7075-T62, QQ-A-250/11, 3.000/4.499</v>
      </c>
    </row>
    <row r="110" spans="1:2" ht="13.8">
      <c r="A110">
        <f>'Base Material Data'!C115</f>
        <v>109</v>
      </c>
      <c r="B110" s="9" t="str">
        <f>'Base Material Data'!A116&amp;" "&amp;'Base Material Data'!B116&amp;"-"&amp;'Base Material Data'!F116&amp;", "&amp;'Base Material Data'!G116&amp;", "&amp;'Base Material Data'!I115</f>
        <v xml:space="preserve"> 7075-T73, QQ-A-250/12, 4.500/5.000</v>
      </c>
    </row>
    <row r="111" spans="1:2" ht="13.8">
      <c r="A111">
        <f>'Base Material Data'!C116</f>
        <v>110</v>
      </c>
      <c r="B111" s="9" t="str">
        <f>'Base Material Data'!A117&amp;" "&amp;'Base Material Data'!B117&amp;"-"&amp;'Base Material Data'!F117&amp;", "&amp;'Base Material Data'!G117&amp;", "&amp;'Base Material Data'!I116</f>
        <v xml:space="preserve"> 7075-T7351, QQ-A-250/12, 0.040/0.249</v>
      </c>
    </row>
    <row r="112" spans="1:2" ht="13.8">
      <c r="A112">
        <f>'Base Material Data'!C117</f>
        <v>111</v>
      </c>
      <c r="B112" s="9" t="str">
        <f>'Base Material Data'!A118&amp;" "&amp;'Base Material Data'!B118&amp;"-"&amp;'Base Material Data'!F118&amp;", "&amp;'Base Material Data'!G118&amp;", "&amp;'Base Material Data'!I117</f>
        <v xml:space="preserve"> 7075-T7351, QQ-A-250/12, 0.250/0.499</v>
      </c>
    </row>
    <row r="113" spans="1:2" ht="13.8">
      <c r="A113">
        <f>'Base Material Data'!C118</f>
        <v>112</v>
      </c>
      <c r="B113" s="9" t="str">
        <f>'Base Material Data'!A119&amp;" "&amp;'Base Material Data'!B119&amp;"-"&amp;'Base Material Data'!F119&amp;", "&amp;'Base Material Data'!G119&amp;", "&amp;'Base Material Data'!I118</f>
        <v xml:space="preserve"> 7075-T7351, QQ-A-250/12, 0.500/1.000</v>
      </c>
    </row>
    <row r="114" spans="1:2" ht="13.8">
      <c r="A114">
        <f>'Base Material Data'!C119</f>
        <v>113</v>
      </c>
      <c r="B114" s="9" t="str">
        <f>'Base Material Data'!A120&amp;" "&amp;'Base Material Data'!B120&amp;"-"&amp;'Base Material Data'!F120&amp;", "&amp;'Base Material Data'!G120&amp;", "&amp;'Base Material Data'!I119</f>
        <v xml:space="preserve"> 7075-T7351, QQ-A-250/12, 1.001/1.500</v>
      </c>
    </row>
    <row r="115" spans="1:2" ht="13.8">
      <c r="A115">
        <f>'Base Material Data'!C120</f>
        <v>114</v>
      </c>
      <c r="B115" s="9" t="str">
        <f>'Base Material Data'!A121&amp;" "&amp;'Base Material Data'!B121&amp;"-"&amp;'Base Material Data'!F121&amp;", "&amp;'Base Material Data'!G121&amp;", "&amp;'Base Material Data'!I120</f>
        <v xml:space="preserve"> 7075-T7351, QQ-A-250/12, 1.501/2.000</v>
      </c>
    </row>
    <row r="116" spans="1:2" ht="13.8">
      <c r="A116">
        <f>'Base Material Data'!C121</f>
        <v>115</v>
      </c>
      <c r="B116" s="9" t="str">
        <f>'Base Material Data'!A122&amp;" "&amp;'Base Material Data'!B122&amp;"-"&amp;'Base Material Data'!F122&amp;", "&amp;'Base Material Data'!G122&amp;", "&amp;'Base Material Data'!I121</f>
        <v xml:space="preserve"> 7075-T7351, QQ-A-250/12, 2.001/2.500</v>
      </c>
    </row>
    <row r="117" spans="1:2" ht="13.8">
      <c r="A117">
        <f>'Base Material Data'!C122</f>
        <v>116</v>
      </c>
      <c r="B117" s="9" t="str">
        <f>'Base Material Data'!A123&amp;" "&amp;'Base Material Data'!B123&amp;"-"&amp;'Base Material Data'!F123&amp;", "&amp;'Base Material Data'!G123&amp;", "&amp;'Base Material Data'!I122</f>
        <v xml:space="preserve"> 7075-T7351, QQ-A-250/12, 2.501/3.000</v>
      </c>
    </row>
    <row r="118" spans="1:2" ht="13.8">
      <c r="A118">
        <f>'Base Material Data'!C123</f>
        <v>117</v>
      </c>
      <c r="B118" s="9" t="str">
        <f>'Base Material Data'!A124&amp;" "&amp;'Base Material Data'!B124&amp;"-"&amp;'Base Material Data'!F124&amp;", "&amp;'Base Material Data'!G124&amp;", "&amp;'Base Material Data'!I123</f>
        <v xml:space="preserve"> 7075-T7351, QQ-A-250/12, 3.001/3.500</v>
      </c>
    </row>
    <row r="119" spans="1:2" ht="13.8">
      <c r="A119">
        <f>'Base Material Data'!C124</f>
        <v>118</v>
      </c>
      <c r="B119" s="9" t="str">
        <f>'Base Material Data'!A125&amp;" "&amp;'Base Material Data'!B125&amp;"-"&amp;'Base Material Data'!F125&amp;", "&amp;'Base Material Data'!G125&amp;", "&amp;'Base Material Data'!I124</f>
        <v>Clad  2014-T6, QQ-A-250/3, 3.501/4.000</v>
      </c>
    </row>
    <row r="120" spans="1:2" ht="13.8">
      <c r="A120">
        <f>'Base Material Data'!C125</f>
        <v>119</v>
      </c>
      <c r="B120" s="9" t="str">
        <f>'Base Material Data'!A126&amp;" "&amp;'Base Material Data'!B126&amp;"-"&amp;'Base Material Data'!F126&amp;", "&amp;'Base Material Data'!G126&amp;", "&amp;'Base Material Data'!I125</f>
        <v>Clad  2014-T6, QQ-A-250/3, 0.020/0.039</v>
      </c>
    </row>
    <row r="121" spans="1:2" ht="13.8">
      <c r="A121">
        <f>'Base Material Data'!C126</f>
        <v>120</v>
      </c>
      <c r="B121" s="9" t="str">
        <f>'Base Material Data'!A127&amp;" "&amp;'Base Material Data'!B127&amp;"-"&amp;'Base Material Data'!F127&amp;", "&amp;'Base Material Data'!G127&amp;", "&amp;'Base Material Data'!I126</f>
        <v>Clad  2014-T651, QQ-A-250/3, 0.040/0.249</v>
      </c>
    </row>
    <row r="122" spans="1:2" ht="13.8">
      <c r="A122">
        <f>'Base Material Data'!C127</f>
        <v>121</v>
      </c>
      <c r="B122" s="9" t="str">
        <f>'Base Material Data'!A128&amp;" "&amp;'Base Material Data'!B128&amp;"-"&amp;'Base Material Data'!F128&amp;", "&amp;'Base Material Data'!G128&amp;", "&amp;'Base Material Data'!I127</f>
        <v>Clad  2014-T651, QQ-A-250/3, 0.250/0.499</v>
      </c>
    </row>
    <row r="123" spans="1:2" ht="13.8">
      <c r="A123">
        <f>'Base Material Data'!C128</f>
        <v>122</v>
      </c>
      <c r="B123" s="9" t="str">
        <f>'Base Material Data'!A129&amp;" "&amp;'Base Material Data'!B129&amp;"-"&amp;'Base Material Data'!F129&amp;", "&amp;'Base Material Data'!G129&amp;", "&amp;'Base Material Data'!I128</f>
        <v>Clad  2014-T651, QQ-A-250/3, 0.500/1.000</v>
      </c>
    </row>
    <row r="124" spans="1:2" ht="13.8">
      <c r="A124">
        <f>'Base Material Data'!C129</f>
        <v>123</v>
      </c>
      <c r="B124" s="9" t="str">
        <f>'Base Material Data'!A130&amp;" "&amp;'Base Material Data'!B130&amp;"-"&amp;'Base Material Data'!F130&amp;", "&amp;'Base Material Data'!G130&amp;", "&amp;'Base Material Data'!I129</f>
        <v>Clad  2014-T651, QQ-A-250/3, 1.001/2.000</v>
      </c>
    </row>
    <row r="125" spans="1:2" ht="13.8">
      <c r="A125">
        <f>'Base Material Data'!C130</f>
        <v>124</v>
      </c>
      <c r="B125" s="9" t="str">
        <f>'Base Material Data'!A131&amp;" "&amp;'Base Material Data'!B131&amp;"-"&amp;'Base Material Data'!F131&amp;", "&amp;'Base Material Data'!G131&amp;", "&amp;'Base Material Data'!I130</f>
        <v>Clad  2014-T651, QQ-A-250/3, 2.001/2.500</v>
      </c>
    </row>
    <row r="126" spans="1:2" ht="13.8">
      <c r="A126">
        <f>'Base Material Data'!C131</f>
        <v>125</v>
      </c>
      <c r="B126" s="9" t="str">
        <f>'Base Material Data'!A132&amp;" "&amp;'Base Material Data'!B132&amp;"-"&amp;'Base Material Data'!F132&amp;", "&amp;'Base Material Data'!G132&amp;", "&amp;'Base Material Data'!I131</f>
        <v>Clad  2014-T651, QQ-A-250/3, 2.501/3.000</v>
      </c>
    </row>
    <row r="127" spans="1:2" ht="13.8">
      <c r="A127">
        <f>'Base Material Data'!C132</f>
        <v>126</v>
      </c>
      <c r="B127" s="9" t="str">
        <f>'Base Material Data'!A133&amp;" "&amp;'Base Material Data'!B133&amp;"-"&amp;'Base Material Data'!F133&amp;", "&amp;'Base Material Data'!G133&amp;", "&amp;'Base Material Data'!I132</f>
        <v>Clad  2024-T3, QQ-A-250/5, 3.001/4.000</v>
      </c>
    </row>
    <row r="128" spans="1:2" ht="13.8">
      <c r="A128">
        <f>'Base Material Data'!C133</f>
        <v>127</v>
      </c>
      <c r="B128" s="9" t="str">
        <f>'Base Material Data'!A134&amp;" "&amp;'Base Material Data'!B134&amp;"-"&amp;'Base Material Data'!F134&amp;", "&amp;'Base Material Data'!G134&amp;", "&amp;'Base Material Data'!I133</f>
        <v>Clad  2024-T3, QQ-A-250/5, 0.008/0.009</v>
      </c>
    </row>
    <row r="129" spans="1:2" ht="13.8">
      <c r="A129">
        <f>'Base Material Data'!C134</f>
        <v>128</v>
      </c>
      <c r="B129" s="9" t="str">
        <f>'Base Material Data'!A135&amp;" "&amp;'Base Material Data'!B135&amp;"-"&amp;'Base Material Data'!F135&amp;", "&amp;'Base Material Data'!G135&amp;", "&amp;'Base Material Data'!I134</f>
        <v>Clad  2024-T3, QQ-A-250/5, 0.010/0.062</v>
      </c>
    </row>
    <row r="130" spans="1:2" ht="13.8">
      <c r="A130">
        <f>'Base Material Data'!C135</f>
        <v>129</v>
      </c>
      <c r="B130" s="9" t="str">
        <f>'Base Material Data'!A136&amp;" "&amp;'Base Material Data'!B136&amp;"-"&amp;'Base Material Data'!F136&amp;", "&amp;'Base Material Data'!G136&amp;", "&amp;'Base Material Data'!I135</f>
        <v>Clad  2024-T3, QQ-A-250/5, 0.063/0.128</v>
      </c>
    </row>
    <row r="131" spans="1:2" ht="13.8">
      <c r="A131">
        <f>'Base Material Data'!C136</f>
        <v>130</v>
      </c>
      <c r="B131" s="9" t="str">
        <f>'Base Material Data'!A137&amp;" "&amp;'Base Material Data'!B137&amp;"-"&amp;'Base Material Data'!F137&amp;", "&amp;'Base Material Data'!G137&amp;", "&amp;'Base Material Data'!I136</f>
        <v>Clad  2024-T4,  , 0.129/0.249</v>
      </c>
    </row>
    <row r="132" spans="1:2" ht="13.8">
      <c r="A132">
        <f>'Base Material Data'!C137</f>
        <v>131</v>
      </c>
      <c r="B132" s="9" t="str">
        <f>'Base Material Data'!A138&amp;" "&amp;'Base Material Data'!B138&amp;"-"&amp;'Base Material Data'!F138&amp;", "&amp;'Base Material Data'!G138&amp;", "&amp;'Base Material Data'!I137</f>
        <v xml:space="preserve">Clad  2024-T42, QQ-A-250/5, </v>
      </c>
    </row>
    <row r="133" spans="1:2" ht="13.8">
      <c r="A133">
        <f>'Base Material Data'!C138</f>
        <v>132</v>
      </c>
      <c r="B133" s="9" t="str">
        <f>'Base Material Data'!A139&amp;" "&amp;'Base Material Data'!B139&amp;"-"&amp;'Base Material Data'!F139&amp;", "&amp;'Base Material Data'!G139&amp;", "&amp;'Base Material Data'!I138</f>
        <v>Clad  2024-T42, QQ-A-250/5, 0.008/0.009</v>
      </c>
    </row>
    <row r="134" spans="1:2" ht="13.8">
      <c r="A134">
        <f>'Base Material Data'!C139</f>
        <v>133</v>
      </c>
      <c r="B134" s="9" t="str">
        <f>'Base Material Data'!A140&amp;" "&amp;'Base Material Data'!B140&amp;"-"&amp;'Base Material Data'!F140&amp;", "&amp;'Base Material Data'!G140&amp;", "&amp;'Base Material Data'!I139</f>
        <v>Clad  2024-T42, QQ-A-250/5, 0.010/0.062</v>
      </c>
    </row>
    <row r="135" spans="1:2" ht="13.8">
      <c r="A135">
        <f>'Base Material Data'!C140</f>
        <v>134</v>
      </c>
      <c r="B135" s="9" t="str">
        <f>'Base Material Data'!A141&amp;" "&amp;'Base Material Data'!B141&amp;"-"&amp;'Base Material Data'!F141&amp;", "&amp;'Base Material Data'!G141&amp;", "&amp;'Base Material Data'!I140</f>
        <v>Clad  2024-T42, QQ-A-250/5, 0.063/0.249</v>
      </c>
    </row>
    <row r="136" spans="1:2" ht="13.8">
      <c r="A136">
        <f>'Base Material Data'!C141</f>
        <v>135</v>
      </c>
      <c r="B136" s="9" t="str">
        <f>'Base Material Data'!A142&amp;" "&amp;'Base Material Data'!B142&amp;"-"&amp;'Base Material Data'!F142&amp;", "&amp;'Base Material Data'!G142&amp;", "&amp;'Base Material Data'!I141</f>
        <v>Clad  2024-T42, QQ-A-250/5, 0.250/0.499</v>
      </c>
    </row>
    <row r="137" spans="1:2" ht="13.8">
      <c r="A137">
        <f>'Base Material Data'!C142</f>
        <v>136</v>
      </c>
      <c r="B137" s="9" t="str">
        <f>'Base Material Data'!A143&amp;" "&amp;'Base Material Data'!B143&amp;"-"&amp;'Base Material Data'!F143&amp;", "&amp;'Base Material Data'!G143&amp;", "&amp;'Base Material Data'!I142</f>
        <v>Clad  2024-T42, QQ-A-250/5, 0.500/1.000</v>
      </c>
    </row>
    <row r="138" spans="1:2" ht="13.8">
      <c r="A138">
        <f>'Base Material Data'!C143</f>
        <v>137</v>
      </c>
      <c r="B138" s="9" t="str">
        <f>'Base Material Data'!A144&amp;" "&amp;'Base Material Data'!B144&amp;"-"&amp;'Base Material Data'!F144&amp;", "&amp;'Base Material Data'!G144&amp;", "&amp;'Base Material Data'!I143</f>
        <v>Clad  2024-T42, QQ-A-250/5, 1.001/2.000</v>
      </c>
    </row>
    <row r="139" spans="1:2" ht="13.8">
      <c r="A139">
        <f>'Base Material Data'!C144</f>
        <v>138</v>
      </c>
      <c r="B139" s="9" t="str">
        <f>'Base Material Data'!A145&amp;" "&amp;'Base Material Data'!B145&amp;"-"&amp;'Base Material Data'!F145&amp;", "&amp;'Base Material Data'!G145&amp;", "&amp;'Base Material Data'!I144</f>
        <v>Clad  2024-T6,  , 2.001/3.000</v>
      </c>
    </row>
    <row r="140" spans="1:2" ht="13.8">
      <c r="A140">
        <f>'Base Material Data'!C145</f>
        <v>139</v>
      </c>
      <c r="B140" s="9" t="str">
        <f>'Base Material Data'!A146&amp;" "&amp;'Base Material Data'!B146&amp;"-"&amp;'Base Material Data'!F146&amp;", "&amp;'Base Material Data'!G146&amp;", "&amp;'Base Material Data'!I145</f>
        <v xml:space="preserve">Clad  7075-T6, AMS 4049, </v>
      </c>
    </row>
    <row r="141" spans="1:2" ht="13.8">
      <c r="A141">
        <f>'Base Material Data'!C146</f>
        <v>140</v>
      </c>
      <c r="B141" s="9" t="str">
        <f>'Base Material Data'!A147&amp;" "&amp;'Base Material Data'!B147&amp;"-"&amp;'Base Material Data'!F147&amp;", "&amp;'Base Material Data'!G147&amp;", "&amp;'Base Material Data'!I146</f>
        <v>Clad  7075-T6, AMS 4049, 0.008/0.011</v>
      </c>
    </row>
    <row r="142" spans="1:2" ht="13.8">
      <c r="A142">
        <f>'Base Material Data'!C147</f>
        <v>141</v>
      </c>
      <c r="B142" s="9" t="str">
        <f>'Base Material Data'!A148&amp;" "&amp;'Base Material Data'!B148&amp;"-"&amp;'Base Material Data'!F148&amp;", "&amp;'Base Material Data'!G148&amp;", "&amp;'Base Material Data'!I147</f>
        <v>Clad  7075-T6, AMS 4049, 0.012/0.039</v>
      </c>
    </row>
    <row r="143" spans="1:2" ht="13.8">
      <c r="A143">
        <f>'Base Material Data'!C148</f>
        <v>142</v>
      </c>
      <c r="B143" s="9" t="str">
        <f>'Base Material Data'!A149&amp;" "&amp;'Base Material Data'!B149&amp;"-"&amp;'Base Material Data'!F149&amp;", "&amp;'Base Material Data'!G149&amp;", "&amp;'Base Material Data'!I148</f>
        <v>Clad  7075-T6, AMS 4049, 0.040/0.062</v>
      </c>
    </row>
    <row r="144" spans="1:2" ht="13.8">
      <c r="A144">
        <f>'Base Material Data'!C149</f>
        <v>143</v>
      </c>
      <c r="B144" s="9" t="str">
        <f>'Base Material Data'!A150&amp;" "&amp;'Base Material Data'!B150&amp;"-"&amp;'Base Material Data'!F150&amp;", "&amp;'Base Material Data'!G150&amp;", "&amp;'Base Material Data'!I149</f>
        <v>Clad  7075-T6, AMS 4049, 0.063/0.187</v>
      </c>
    </row>
    <row r="145" spans="1:2" ht="13.8">
      <c r="A145">
        <f>'Base Material Data'!C150</f>
        <v>144</v>
      </c>
      <c r="B145" s="9" t="str">
        <f>'Base Material Data'!A151&amp;" "&amp;'Base Material Data'!B151&amp;"-"&amp;'Base Material Data'!F151&amp;", "&amp;'Base Material Data'!G151&amp;", "&amp;'Base Material Data'!I150</f>
        <v>Clad  7075-T62, QQ-A-250/13, 0.188/0.249</v>
      </c>
    </row>
    <row r="146" spans="1:2" ht="13.8">
      <c r="A146">
        <f>'Base Material Data'!C151</f>
        <v>145</v>
      </c>
      <c r="B146" s="9" t="str">
        <f>'Base Material Data'!A152&amp;" "&amp;'Base Material Data'!B152&amp;"-"&amp;'Base Material Data'!F152&amp;", "&amp;'Base Material Data'!G152&amp;", "&amp;'Base Material Data'!I151</f>
        <v>Clad  7075-T62, QQ-A-250/13, 0.008/0.011</v>
      </c>
    </row>
    <row r="147" spans="1:2" ht="13.8">
      <c r="A147">
        <f>'Base Material Data'!C152</f>
        <v>146</v>
      </c>
      <c r="B147" s="9" t="str">
        <f>'Base Material Data'!A153&amp;" "&amp;'Base Material Data'!B153&amp;"-"&amp;'Base Material Data'!F153&amp;", "&amp;'Base Material Data'!G153&amp;", "&amp;'Base Material Data'!I152</f>
        <v>Clad  7075-T62, QQ-A-250/13, 0.012/0.039</v>
      </c>
    </row>
    <row r="148" spans="1:2" ht="13.8">
      <c r="A148">
        <f>'Base Material Data'!C153</f>
        <v>147</v>
      </c>
      <c r="B148" s="9" t="str">
        <f>'Base Material Data'!A154&amp;" "&amp;'Base Material Data'!B154&amp;"-"&amp;'Base Material Data'!F154&amp;", "&amp;'Base Material Data'!G154&amp;", "&amp;'Base Material Data'!I153</f>
        <v>Clad  7075-T62, QQ-A-250/13, 0.040/0.062</v>
      </c>
    </row>
    <row r="149" spans="1:2" ht="13.8">
      <c r="A149">
        <f>'Base Material Data'!C154</f>
        <v>148</v>
      </c>
      <c r="B149" s="9" t="str">
        <f>'Base Material Data'!A155&amp;" "&amp;'Base Material Data'!B155&amp;"-"&amp;'Base Material Data'!F155&amp;", "&amp;'Base Material Data'!G155&amp;", "&amp;'Base Material Data'!I154</f>
        <v>Clad  7075-T62, QQ-A-250/13, 0.063/0.187</v>
      </c>
    </row>
    <row r="150" spans="1:2" ht="13.8">
      <c r="A150">
        <f>'Base Material Data'!C155</f>
        <v>149</v>
      </c>
      <c r="B150" s="9" t="str">
        <f>'Base Material Data'!A156&amp;" "&amp;'Base Material Data'!B156&amp;"-"&amp;'Base Material Data'!F156&amp;", "&amp;'Base Material Data'!G156&amp;", "&amp;'Base Material Data'!I155</f>
        <v>Clad  7075-T651, QQ-A-250/13, 0.188/0.249</v>
      </c>
    </row>
    <row r="151" spans="1:2" ht="13.8">
      <c r="A151">
        <f>'Base Material Data'!C156</f>
        <v>150</v>
      </c>
      <c r="B151" s="9" t="str">
        <f>'Base Material Data'!A157&amp;" "&amp;'Base Material Data'!B157&amp;"-"&amp;'Base Material Data'!F157&amp;", "&amp;'Base Material Data'!G157&amp;", "&amp;'Base Material Data'!I156</f>
        <v>Clad  7075-T651, QQ-A-250/13, 0.250/0.499</v>
      </c>
    </row>
    <row r="152" spans="1:2" ht="13.8">
      <c r="A152">
        <f>'Base Material Data'!C157</f>
        <v>151</v>
      </c>
      <c r="B152" s="9" t="str">
        <f>'Base Material Data'!A158&amp;" "&amp;'Base Material Data'!B158&amp;"-"&amp;'Base Material Data'!F158&amp;", "&amp;'Base Material Data'!G158&amp;", "&amp;'Base Material Data'!I157</f>
        <v>Clad  7075-T651, QQ-A-250/13, 0.500/1.000</v>
      </c>
    </row>
    <row r="153" spans="1:2" ht="13.8">
      <c r="A153">
        <f>'Base Material Data'!C158</f>
        <v>152</v>
      </c>
      <c r="B153" s="9" t="str">
        <f>'Base Material Data'!A159&amp;" "&amp;'Base Material Data'!B159&amp;"-"&amp;'Base Material Data'!F159&amp;", "&amp;'Base Material Data'!G159&amp;", "&amp;'Base Material Data'!I158</f>
        <v>Clad  7075-T651, QQ-A-250/13, 1.001/2.000</v>
      </c>
    </row>
    <row r="154" spans="1:2" ht="13.8">
      <c r="A154">
        <f>'Base Material Data'!C159</f>
        <v>153</v>
      </c>
      <c r="B154" s="9" t="str">
        <f>'Base Material Data'!A160&amp;" "&amp;'Base Material Data'!B160&amp;"-"&amp;'Base Material Data'!F160&amp;", "&amp;'Base Material Data'!G160&amp;", "&amp;'Base Material Data'!I159</f>
        <v>Clad  7075-T651, QQ-A-250/13, 2.001/2.500</v>
      </c>
    </row>
    <row r="155" spans="1:2" ht="13.8">
      <c r="A155">
        <f>'Base Material Data'!C160</f>
        <v>154</v>
      </c>
      <c r="B155" s="9" t="str">
        <f>'Base Material Data'!A161&amp;" "&amp;'Base Material Data'!B161&amp;"-"&amp;'Base Material Data'!F161&amp;", "&amp;'Base Material Data'!G161&amp;", "&amp;'Base Material Data'!I160</f>
        <v>Clad  7075-T651, QQ-A-250/13, 2.501/3.000</v>
      </c>
    </row>
    <row r="156" spans="1:2" ht="13.8">
      <c r="A156">
        <f>'Base Material Data'!C161</f>
        <v>155</v>
      </c>
      <c r="B156" s="9" t="str">
        <f>'Base Material Data'!A162&amp;" "&amp;'Base Material Data'!B162&amp;"-"&amp;'Base Material Data'!F162&amp;", "&amp;'Base Material Data'!G162&amp;", "&amp;'Base Material Data'!I161</f>
        <v>Clad  7075-T651, QQ-A-250/13, 3.001/3.500</v>
      </c>
    </row>
    <row r="157" spans="1:2" ht="13.8">
      <c r="A157">
        <f>'Base Material Data'!C162</f>
        <v>156</v>
      </c>
      <c r="B157" s="9" t="str">
        <f>'Base Material Data'!A163&amp;" "&amp;'Base Material Data'!B163&amp;"-"&amp;'Base Material Data'!F163&amp;", "&amp;'Base Material Data'!G163&amp;", "&amp;'Base Material Data'!I162</f>
        <v xml:space="preserve"> 7050-T7541, AMS 4050, 3.501/4.000</v>
      </c>
    </row>
    <row r="158" spans="1:2" ht="13.8">
      <c r="A158">
        <f>'Base Material Data'!C163</f>
        <v>157</v>
      </c>
      <c r="B158" s="9" t="str">
        <f>'Base Material Data'!A164&amp;" "&amp;'Base Material Data'!B164&amp;"-"&amp;'Base Material Data'!F164&amp;", "&amp;'Base Material Data'!G164&amp;", "&amp;'Base Material Data'!I163</f>
        <v xml:space="preserve"> 7050-T7541, AMS 4050, .0250/1.500</v>
      </c>
    </row>
    <row r="159" spans="1:2" ht="13.8">
      <c r="A159">
        <f>'Base Material Data'!C164</f>
        <v>158</v>
      </c>
      <c r="B159" s="9" t="str">
        <f>'Base Material Data'!A165&amp;" "&amp;'Base Material Data'!B165&amp;"-"&amp;'Base Material Data'!F165&amp;", "&amp;'Base Material Data'!G165&amp;", "&amp;'Base Material Data'!I164</f>
        <v xml:space="preserve"> 7050-T73511, AMS 4341, 1.501/2.000</v>
      </c>
    </row>
    <row r="160" spans="1:2" ht="13.8">
      <c r="A160">
        <f>'Base Material Data'!C165</f>
        <v>159</v>
      </c>
      <c r="B160" s="9" t="str">
        <f>'Base Material Data'!A166&amp;" "&amp;'Base Material Data'!B166&amp;"-"&amp;'Base Material Data'!F166&amp;", "&amp;'Base Material Data'!G166&amp;", "&amp;'Base Material Data'!I165</f>
        <v xml:space="preserve"> 7050-T7541, AMS 4050, &lt;1.000</v>
      </c>
    </row>
    <row r="161" spans="1:2" ht="13.8">
      <c r="A161">
        <f>'Base Material Data'!C166</f>
        <v>160</v>
      </c>
      <c r="B161" s="9" t="str">
        <f>'Base Material Data'!A167&amp;" "&amp;'Base Material Data'!B167&amp;"-"&amp;'Base Material Data'!F167&amp;", "&amp;'Base Material Data'!G167&amp;", "&amp;'Base Material Data'!I166</f>
        <v xml:space="preserve"> 7475-T7351, AMS4202, 5.001/6.000</v>
      </c>
    </row>
    <row r="162" spans="1:2" ht="13.8">
      <c r="A162">
        <f>'Base Material Data'!C167</f>
        <v>161</v>
      </c>
      <c r="B162" s="9" t="str">
        <f>'Base Material Data'!A168&amp;" "&amp;'Base Material Data'!B168&amp;"-"&amp;'Base Material Data'!F168&amp;", "&amp;'Base Material Data'!G168&amp;", "&amp;'Base Material Data'!I167</f>
        <v xml:space="preserve"> -, , 0.250/1.500</v>
      </c>
    </row>
    <row r="163" spans="1:2" ht="13.8">
      <c r="A163">
        <f>'Base Material Data'!C168</f>
        <v>162</v>
      </c>
      <c r="B163" s="9" t="str">
        <f>'Base Material Data'!A169&amp;" "&amp;'Base Material Data'!B169&amp;"-"&amp;'Base Material Data'!F169&amp;", "&amp;'Base Material Data'!G169&amp;", "&amp;'Base Material Data'!I168</f>
        <v xml:space="preserve"> -, , </v>
      </c>
    </row>
    <row r="164" spans="1:2" ht="13.8">
      <c r="A164">
        <f>'Base Material Data'!C169</f>
        <v>163</v>
      </c>
      <c r="B164" s="9" t="str">
        <f>'Base Material Data'!A170&amp;" "&amp;'Base Material Data'!B170&amp;"-"&amp;'Base Material Data'!F170&amp;", "&amp;'Base Material Data'!G170&amp;", "&amp;'Base Material Data'!I169</f>
        <v xml:space="preserve"> -, , </v>
      </c>
    </row>
    <row r="165" spans="1:2" ht="13.8">
      <c r="A165">
        <f>'Base Material Data'!C170</f>
        <v>164</v>
      </c>
      <c r="B165" s="9" t="str">
        <f>'Base Material Data'!A171&amp;" "&amp;'Base Material Data'!B171&amp;"-"&amp;'Base Material Data'!F171&amp;", "&amp;'Base Material Data'!G171&amp;", "&amp;'Base Material Data'!I170</f>
        <v xml:space="preserve"> Ti-6Al-4V, AMS 4911, </v>
      </c>
    </row>
    <row r="166" spans="1:2" ht="13.8">
      <c r="A166">
        <f>'Base Material Data'!C171</f>
        <v>165</v>
      </c>
      <c r="B166" s="9" t="str">
        <f>'Base Material Data'!A172&amp;" "&amp;'Base Material Data'!B172&amp;"-"&amp;'Base Material Data'!F172&amp;", "&amp;'Base Material Data'!G172&amp;", "&amp;'Base Material Data'!I171</f>
        <v xml:space="preserve"> Ti-6Al-4V, AMS 4911, 0.000/0.1875</v>
      </c>
    </row>
    <row r="167" spans="1:2" ht="13.8">
      <c r="A167">
        <f>'Base Material Data'!C172</f>
        <v>166</v>
      </c>
      <c r="B167" s="9" t="str">
        <f>'Base Material Data'!A173&amp;" "&amp;'Base Material Data'!B173&amp;"-"&amp;'Base Material Data'!F173&amp;", "&amp;'Base Material Data'!G173&amp;", "&amp;'Base Material Data'!I172</f>
        <v xml:space="preserve"> Ti-6Al-4V, AMS 4911, 0.1875/2.000</v>
      </c>
    </row>
    <row r="168" spans="1:2" ht="13.8">
      <c r="A168">
        <f>'Base Material Data'!C173</f>
        <v>167</v>
      </c>
      <c r="B168" s="9" t="str">
        <f>'Base Material Data'!A174&amp;" "&amp;'Base Material Data'!B174&amp;"-"&amp;'Base Material Data'!F174&amp;", "&amp;'Base Material Data'!G174&amp;", "&amp;'Base Material Data'!I173</f>
        <v xml:space="preserve"> -, , 2.000/4.000</v>
      </c>
    </row>
    <row r="169" spans="1:2" ht="13.8">
      <c r="A169">
        <f>'Base Material Data'!C174</f>
        <v>168</v>
      </c>
      <c r="B169" s="9" t="str">
        <f>'Base Material Data'!A175&amp;" "&amp;'Base Material Data'!B175&amp;"-"&amp;'Base Material Data'!F175&amp;", "&amp;'Base Material Data'!G175&amp;", "&amp;'Base Material Data'!I174</f>
        <v xml:space="preserve"> -, , </v>
      </c>
    </row>
    <row r="170" spans="1:2" ht="13.8">
      <c r="B170" s="9"/>
    </row>
    <row r="171" spans="1:2" ht="13.8">
      <c r="B171" s="9"/>
    </row>
    <row r="172" spans="1:2" ht="13.8">
      <c r="B172" s="9"/>
    </row>
    <row r="173" spans="1:2" ht="13.8">
      <c r="B173" s="9"/>
    </row>
    <row r="174" spans="1:2" ht="13.8">
      <c r="B174" s="9"/>
    </row>
    <row r="175" spans="1:2" ht="13.8">
      <c r="B175" s="9"/>
    </row>
    <row r="176" spans="1:2" ht="13.8">
      <c r="B176" s="9"/>
    </row>
    <row r="177" spans="2:2" ht="13.8">
      <c r="B177" s="9"/>
    </row>
    <row r="178" spans="2:2" ht="13.8">
      <c r="B178" s="9"/>
    </row>
    <row r="179" spans="2:2" ht="13.8">
      <c r="B179" s="9"/>
    </row>
    <row r="180" spans="2:2" ht="13.8">
      <c r="B180" s="9"/>
    </row>
    <row r="181" spans="2:2" ht="13.8">
      <c r="B181" s="9"/>
    </row>
    <row r="182" spans="2:2" ht="13.8">
      <c r="B182" s="9"/>
    </row>
    <row r="183" spans="2:2" ht="13.8">
      <c r="B183" s="9"/>
    </row>
    <row r="184" spans="2:2" ht="13.8">
      <c r="B184" s="9"/>
    </row>
    <row r="185" spans="2:2" ht="13.8">
      <c r="B185" s="9"/>
    </row>
    <row r="186" spans="2:2" ht="13.8">
      <c r="B186" s="9"/>
    </row>
    <row r="187" spans="2:2" ht="13.8">
      <c r="B187" s="9"/>
    </row>
    <row r="188" spans="2:2" ht="13.8">
      <c r="B188" s="9"/>
    </row>
    <row r="189" spans="2:2" ht="13.8">
      <c r="B189" s="9"/>
    </row>
    <row r="190" spans="2:2" ht="13.8">
      <c r="B190" s="9"/>
    </row>
    <row r="191" spans="2:2" ht="13.8">
      <c r="B191" s="9"/>
    </row>
    <row r="192" spans="2:2" ht="13.8">
      <c r="B192" s="9"/>
    </row>
    <row r="193" spans="2:2" ht="13.8">
      <c r="B193" s="9"/>
    </row>
    <row r="194" spans="2:2" ht="13.8">
      <c r="B194" s="9"/>
    </row>
    <row r="195" spans="2:2" ht="13.8">
      <c r="B195" s="9"/>
    </row>
    <row r="196" spans="2:2" ht="13.8">
      <c r="B196" s="9"/>
    </row>
    <row r="197" spans="2:2" ht="13.8">
      <c r="B197" s="9"/>
    </row>
    <row r="198" spans="2:2" ht="13.8">
      <c r="B198" s="9"/>
    </row>
    <row r="199" spans="2:2" ht="13.8">
      <c r="B199" s="9"/>
    </row>
    <row r="200" spans="2:2" ht="13.8">
      <c r="B200" s="9"/>
    </row>
    <row r="201" spans="2:2" ht="13.8">
      <c r="B201" s="9"/>
    </row>
    <row r="202" spans="2:2" ht="13.8">
      <c r="B202" s="9"/>
    </row>
    <row r="203" spans="2:2" ht="13.8">
      <c r="B203" s="9"/>
    </row>
    <row r="204" spans="2:2" ht="13.8">
      <c r="B204" s="9"/>
    </row>
    <row r="205" spans="2:2" ht="13.8">
      <c r="B205" s="9"/>
    </row>
    <row r="206" spans="2:2" ht="13.8">
      <c r="B206" s="9"/>
    </row>
    <row r="207" spans="2:2" ht="13.8">
      <c r="B207" s="9"/>
    </row>
    <row r="208" spans="2:2" ht="13.8">
      <c r="B208" s="9"/>
    </row>
    <row r="209" spans="2:2" ht="13.8">
      <c r="B209" s="9"/>
    </row>
    <row r="210" spans="2:2" ht="13.8">
      <c r="B210" s="9"/>
    </row>
    <row r="211" spans="2:2" ht="13.8">
      <c r="B211" s="9"/>
    </row>
    <row r="212" spans="2:2" ht="13.8">
      <c r="B212" s="9"/>
    </row>
    <row r="213" spans="2:2" ht="13.8">
      <c r="B213" s="9"/>
    </row>
    <row r="214" spans="2:2" ht="13.8">
      <c r="B214" s="9"/>
    </row>
    <row r="215" spans="2:2" ht="13.8">
      <c r="B215" s="9"/>
    </row>
    <row r="216" spans="2:2" ht="13.8">
      <c r="B216" s="9"/>
    </row>
    <row r="217" spans="2:2" ht="13.8">
      <c r="B217" s="9"/>
    </row>
    <row r="218" spans="2:2" ht="13.8">
      <c r="B218" s="9"/>
    </row>
    <row r="219" spans="2:2" ht="13.8">
      <c r="B219" s="9"/>
    </row>
    <row r="220" spans="2:2" ht="13.8">
      <c r="B220" s="9"/>
    </row>
    <row r="221" spans="2:2" ht="13.8">
      <c r="B221" s="9"/>
    </row>
    <row r="222" spans="2:2" ht="13.8">
      <c r="B222" s="9"/>
    </row>
    <row r="223" spans="2:2" ht="13.8">
      <c r="B223" s="9"/>
    </row>
    <row r="224" spans="2:2" ht="13.8">
      <c r="B224" s="9"/>
    </row>
    <row r="225" spans="2:2" ht="13.8">
      <c r="B225" s="9"/>
    </row>
    <row r="226" spans="2:2" ht="13.8">
      <c r="B226" s="9"/>
    </row>
    <row r="227" spans="2:2" ht="13.8">
      <c r="B227" s="9"/>
    </row>
    <row r="228" spans="2:2" ht="13.8">
      <c r="B228" s="9"/>
    </row>
    <row r="229" spans="2:2" ht="13.8">
      <c r="B229" s="9"/>
    </row>
    <row r="230" spans="2:2" ht="13.8">
      <c r="B230" s="9"/>
    </row>
    <row r="231" spans="2:2" ht="13.8">
      <c r="B231" s="9"/>
    </row>
    <row r="232" spans="2:2" ht="13.8">
      <c r="B232" s="9"/>
    </row>
    <row r="233" spans="2:2" ht="13.8">
      <c r="B233"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READ ME</vt:lpstr>
      <vt:lpstr>Sheet1</vt:lpstr>
      <vt:lpstr>Base Material Data</vt:lpstr>
      <vt:lpstr>NAME LIST</vt:lpstr>
      <vt:lpstr>MAT</vt:lpstr>
      <vt:lpstr>MATLIST</vt:lpstr>
      <vt:lpstr>'Base Material Data'!Print_Area</vt:lpstr>
      <vt:lpstr>'READ ME'!Print_Area</vt:lpstr>
      <vt:lpstr>Sheet1!Print_Area</vt:lpstr>
      <vt:lpstr>'Base Material Data'!Print_Titles</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2016-08-31T11:02:40Z</dcterms:modified>
  <cp:category>Engineering Spreadsheets</cp:category>
</cp:coreProperties>
</file>