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firstSheet="1" activeTab="1"/>
  </bookViews>
  <sheets>
    <sheet name="READ ME" sheetId="17" r:id="rId1"/>
    <sheet name="Flat Plates (2)" sheetId="16" r:id="rId2"/>
  </sheets>
  <externalReferences>
    <externalReference r:id="rId3"/>
  </externalReferences>
  <definedNames>
    <definedName name="_xlnm.Print_Area" localSheetId="1">'Flat Plates (2)'!$A$8:$K$113</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AD79" i="16" l="1"/>
  <c r="AD80" i="16"/>
  <c r="AD81" i="16"/>
  <c r="AD82" i="16"/>
  <c r="AD83" i="16"/>
  <c r="AD84" i="16"/>
  <c r="AD85" i="16"/>
  <c r="AD86" i="16"/>
  <c r="AD87" i="16"/>
  <c r="AD88" i="16"/>
  <c r="AD89" i="16"/>
  <c r="AD90" i="16"/>
  <c r="AD91" i="16"/>
  <c r="AD92" i="16"/>
  <c r="AD93" i="16"/>
  <c r="AD94" i="16"/>
  <c r="AD95" i="16"/>
  <c r="AD96" i="16"/>
  <c r="AD97" i="16"/>
  <c r="AD98" i="16"/>
  <c r="AD99" i="16"/>
  <c r="AD100" i="16"/>
  <c r="AD101" i="16"/>
  <c r="AD102" i="16"/>
  <c r="AD103" i="16"/>
  <c r="AD78" i="16"/>
  <c r="AE78" i="16"/>
  <c r="AE79" i="16"/>
  <c r="AE80" i="16"/>
  <c r="AE81" i="16"/>
  <c r="AE82" i="16"/>
  <c r="AE83" i="16"/>
  <c r="AE84" i="16"/>
  <c r="AE85" i="16"/>
  <c r="AE86" i="16"/>
  <c r="AE87" i="16"/>
  <c r="AE88" i="16"/>
  <c r="AE89" i="16"/>
  <c r="AE90" i="16"/>
  <c r="AE91" i="16"/>
  <c r="AE92" i="16"/>
  <c r="AE93" i="16"/>
  <c r="AE94" i="16"/>
  <c r="AE95" i="16"/>
  <c r="AE96" i="16"/>
  <c r="AE97" i="16"/>
  <c r="AE98" i="16"/>
  <c r="AE99" i="16"/>
  <c r="AE100" i="16"/>
  <c r="AE101" i="16"/>
  <c r="AE102" i="16"/>
  <c r="AE103" i="16"/>
  <c r="Z14" i="16" l="1"/>
  <c r="Z15" i="16"/>
  <c r="Z16" i="16"/>
  <c r="Z17" i="16"/>
  <c r="Z18" i="16"/>
  <c r="Z19" i="16"/>
  <c r="Z20" i="16"/>
  <c r="Z21" i="16"/>
  <c r="Z22" i="16"/>
  <c r="Z23" i="16"/>
  <c r="Z24" i="16"/>
  <c r="Z25" i="16"/>
  <c r="Z26" i="16"/>
  <c r="Z27" i="16"/>
  <c r="Z28" i="16"/>
  <c r="Z29" i="16"/>
  <c r="Z30" i="16"/>
  <c r="Z31" i="16"/>
  <c r="Z32" i="16"/>
  <c r="Z33" i="16"/>
  <c r="Z34" i="16"/>
  <c r="Z35" i="16"/>
  <c r="Z36" i="16"/>
  <c r="Z37" i="16"/>
  <c r="Z38" i="16"/>
  <c r="Z39" i="16"/>
  <c r="Z40" i="16"/>
  <c r="Z41" i="16"/>
  <c r="Z42" i="16"/>
  <c r="Z43" i="16"/>
  <c r="Z44" i="16"/>
  <c r="Z45" i="16"/>
  <c r="Z46" i="16"/>
  <c r="Z47" i="16"/>
  <c r="Z48" i="16"/>
  <c r="Z49" i="16"/>
  <c r="Z50" i="16"/>
  <c r="Z51" i="16"/>
  <c r="Z52" i="16"/>
  <c r="Z53" i="16"/>
  <c r="Z54" i="16"/>
  <c r="Z55" i="16"/>
  <c r="Z56" i="16"/>
  <c r="Z57" i="16"/>
  <c r="Z58" i="16"/>
  <c r="Z13" i="16"/>
  <c r="I29" i="16"/>
  <c r="AC14" i="16" s="1"/>
  <c r="X58" i="16"/>
  <c r="X57" i="16"/>
  <c r="X56" i="16"/>
  <c r="X55" i="16"/>
  <c r="X54" i="16"/>
  <c r="X53" i="16"/>
  <c r="X52" i="16"/>
  <c r="X51" i="16"/>
  <c r="X50" i="16"/>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AI95" i="16" l="1"/>
  <c r="AI94" i="16"/>
  <c r="AH94" i="16" s="1"/>
  <c r="AF42" i="16" l="1"/>
  <c r="AE42" i="16"/>
  <c r="AF41" i="16"/>
  <c r="AE41" i="16"/>
  <c r="AF40" i="16"/>
  <c r="AE40" i="16"/>
  <c r="AF39" i="16"/>
  <c r="AE39" i="16"/>
  <c r="AF38" i="16"/>
  <c r="AE38" i="16"/>
  <c r="AF37" i="16"/>
  <c r="AE37" i="16"/>
  <c r="AF36" i="16"/>
  <c r="AE36" i="16"/>
  <c r="AF35" i="16"/>
  <c r="AE35" i="16"/>
  <c r="AF34" i="16"/>
  <c r="AE34" i="16"/>
  <c r="AF33" i="16"/>
  <c r="AE33" i="16"/>
  <c r="AF32" i="16"/>
  <c r="AE32" i="16"/>
  <c r="AF31" i="16"/>
  <c r="AE31" i="16"/>
  <c r="AF30" i="16"/>
  <c r="AE30" i="16"/>
  <c r="AF29" i="16"/>
  <c r="AE29" i="16"/>
  <c r="AI28" i="16"/>
  <c r="AI29" i="16" s="1"/>
  <c r="AF28" i="16"/>
  <c r="AE28" i="16"/>
  <c r="AF27" i="16"/>
  <c r="AE27" i="16"/>
  <c r="AF26" i="16"/>
  <c r="AE26" i="16"/>
  <c r="AF25" i="16"/>
  <c r="AE25" i="16"/>
  <c r="AH24" i="16"/>
  <c r="AH25" i="16" s="1"/>
  <c r="AF24" i="16"/>
  <c r="AE24" i="16"/>
  <c r="AI25" i="16" l="1"/>
  <c r="AJ25" i="16"/>
  <c r="AJ24" i="16"/>
  <c r="AI24" i="16"/>
  <c r="C12" i="17"/>
  <c r="AJ29" i="16" l="1"/>
  <c r="AJ30" i="16" s="1"/>
  <c r="X103" i="16"/>
  <c r="Y103" i="16" s="1"/>
  <c r="Z103" i="16" s="1"/>
  <c r="X79" i="16"/>
  <c r="G69" i="16"/>
  <c r="Y78" i="16"/>
  <c r="G25" i="16" l="1"/>
  <c r="H20" i="16"/>
  <c r="H21" i="16"/>
  <c r="Z78" i="16"/>
  <c r="AB78" i="16"/>
  <c r="Y79" i="16"/>
  <c r="X95" i="16"/>
  <c r="Y95" i="16" s="1"/>
  <c r="AB103" i="16"/>
  <c r="AC103" i="16" s="1"/>
  <c r="AA78" i="16" l="1"/>
  <c r="AC78" i="16"/>
  <c r="AF78" i="16" s="1"/>
  <c r="AB95" i="16"/>
  <c r="W80" i="16"/>
  <c r="W82" i="16"/>
  <c r="X96" i="16" s="1"/>
  <c r="Y96" i="16" s="1"/>
  <c r="AA103" i="16"/>
  <c r="Z95" i="16"/>
  <c r="AB79" i="16"/>
  <c r="AA95" i="16"/>
  <c r="AC95" i="16" l="1"/>
  <c r="AC79" i="16"/>
  <c r="X80" i="16"/>
  <c r="X81" i="16" s="1"/>
  <c r="X82" i="16" s="1"/>
  <c r="X83" i="16" s="1"/>
  <c r="X84" i="16" s="1"/>
  <c r="X85" i="16" s="1"/>
  <c r="X86" i="16" s="1"/>
  <c r="X87" i="16" s="1"/>
  <c r="X88" i="16" s="1"/>
  <c r="AF103" i="16"/>
  <c r="AH95" i="16" s="1"/>
  <c r="Z79" i="16"/>
  <c r="AA79" i="16"/>
  <c r="X97" i="16"/>
  <c r="Y97" i="16" s="1"/>
  <c r="AA96" i="16"/>
  <c r="Y81" i="16" l="1"/>
  <c r="AF95" i="16"/>
  <c r="Y80" i="16"/>
  <c r="AA80" i="16" s="1"/>
  <c r="AF79" i="16"/>
  <c r="AA97" i="16"/>
  <c r="X98" i="16"/>
  <c r="Y98" i="16" s="1"/>
  <c r="AB81" i="16"/>
  <c r="Z96" i="16"/>
  <c r="AB80" i="16"/>
  <c r="AB96" i="16"/>
  <c r="Z80" i="16" l="1"/>
  <c r="AC96" i="16"/>
  <c r="AC81" i="16"/>
  <c r="AC80" i="16"/>
  <c r="Y82" i="16"/>
  <c r="AA82" i="16" s="1"/>
  <c r="AB97" i="16"/>
  <c r="Z97" i="16"/>
  <c r="Z81" i="16"/>
  <c r="Y83" i="16"/>
  <c r="AA81" i="16"/>
  <c r="X99" i="16"/>
  <c r="Y99" i="16" s="1"/>
  <c r="Z98" i="16"/>
  <c r="AC97" i="16" l="1"/>
  <c r="Z82" i="16"/>
  <c r="AF81" i="16"/>
  <c r="AF80" i="16"/>
  <c r="AB98" i="16"/>
  <c r="AB82" i="16"/>
  <c r="AA98" i="16"/>
  <c r="AA99" i="16"/>
  <c r="X100" i="16"/>
  <c r="Y100" i="16" s="1"/>
  <c r="Y84" i="16"/>
  <c r="AB83" i="16"/>
  <c r="AC82" i="16" l="1"/>
  <c r="AF96" i="16"/>
  <c r="AC98" i="16"/>
  <c r="AC83" i="16"/>
  <c r="Z99" i="16"/>
  <c r="Y85" i="16"/>
  <c r="AB84" i="16"/>
  <c r="Z83" i="16"/>
  <c r="AB99" i="16"/>
  <c r="AA83" i="16"/>
  <c r="X101" i="16"/>
  <c r="Y101" i="16" s="1"/>
  <c r="Z100" i="16"/>
  <c r="AC84" i="16" l="1"/>
  <c r="AC99" i="16"/>
  <c r="AF98" i="16"/>
  <c r="AF97" i="16"/>
  <c r="AF83" i="16"/>
  <c r="AB100" i="16"/>
  <c r="AA100" i="16"/>
  <c r="AA84" i="16"/>
  <c r="AA101" i="16"/>
  <c r="X102" i="16"/>
  <c r="Y102" i="16" s="1"/>
  <c r="Y86" i="16"/>
  <c r="AA85" i="16"/>
  <c r="Z84" i="16"/>
  <c r="AF82" i="16" l="1"/>
  <c r="AC100" i="16"/>
  <c r="AF84" i="16"/>
  <c r="AF99" i="16"/>
  <c r="AB101" i="16"/>
  <c r="Z85" i="16"/>
  <c r="AB85" i="16"/>
  <c r="AA102" i="16"/>
  <c r="Y87" i="16"/>
  <c r="Z86" i="16"/>
  <c r="Z101" i="16"/>
  <c r="AC101" i="16" l="1"/>
  <c r="AC85" i="16"/>
  <c r="AF100" i="16"/>
  <c r="AA86" i="16"/>
  <c r="Y88" i="16"/>
  <c r="Z87" i="16"/>
  <c r="AB102" i="16"/>
  <c r="AB86" i="16"/>
  <c r="Z102" i="16"/>
  <c r="AC86" i="16" l="1"/>
  <c r="AC102" i="16"/>
  <c r="AF85" i="16"/>
  <c r="AF101" i="16"/>
  <c r="AB87" i="16"/>
  <c r="AA87" i="16"/>
  <c r="X89" i="16"/>
  <c r="Y89" i="16" s="1"/>
  <c r="AB88" i="16"/>
  <c r="AC88" i="16" l="1"/>
  <c r="AC87" i="16"/>
  <c r="AF86" i="16"/>
  <c r="Z88" i="16"/>
  <c r="AA88" i="16"/>
  <c r="X90" i="16"/>
  <c r="Y90" i="16" s="1"/>
  <c r="AA89" i="16"/>
  <c r="AF102" i="16" l="1"/>
  <c r="AF87" i="16"/>
  <c r="AF88" i="16"/>
  <c r="Z89" i="16"/>
  <c r="AB89" i="16"/>
  <c r="X91" i="16"/>
  <c r="Y91" i="16" s="1"/>
  <c r="Z90" i="16"/>
  <c r="AC89" i="16" l="1"/>
  <c r="AB90" i="16"/>
  <c r="AA90" i="16"/>
  <c r="X92" i="16"/>
  <c r="Y92" i="16" s="1"/>
  <c r="AB91" i="16"/>
  <c r="AC91" i="16" l="1"/>
  <c r="AC90" i="16"/>
  <c r="AA91" i="16"/>
  <c r="X93" i="16"/>
  <c r="Y93" i="16" s="1"/>
  <c r="AA92" i="16"/>
  <c r="Z91" i="16"/>
  <c r="AF89" i="16" l="1"/>
  <c r="AF91" i="16"/>
  <c r="AF90" i="16"/>
  <c r="Z92" i="16"/>
  <c r="X94" i="16"/>
  <c r="Y94" i="16" s="1"/>
  <c r="AA93" i="16"/>
  <c r="AB92" i="16"/>
  <c r="AC92" i="16" l="1"/>
  <c r="AB93" i="16"/>
  <c r="Z93" i="16"/>
  <c r="AB94" i="16"/>
  <c r="AC93" i="16" l="1"/>
  <c r="AC94" i="16"/>
  <c r="Z94" i="16"/>
  <c r="AA94" i="16"/>
  <c r="AF92" i="16" l="1"/>
  <c r="AF94" i="16"/>
  <c r="AF93" i="16" l="1"/>
  <c r="B65" i="16"/>
  <c r="F64" i="16"/>
  <c r="L63" i="16"/>
  <c r="F63" i="16"/>
  <c r="J62" i="16"/>
  <c r="F62" i="16"/>
  <c r="J61" i="16"/>
  <c r="F61" i="16"/>
  <c r="I43" i="16" l="1"/>
  <c r="I42" i="16"/>
  <c r="G24" i="16"/>
  <c r="X1" i="16" l="1"/>
  <c r="G1" i="16" s="1"/>
  <c r="J63" i="16" s="1"/>
  <c r="X2" i="16"/>
  <c r="X3" i="16"/>
  <c r="X4" i="16"/>
  <c r="X5" i="16"/>
  <c r="X6" i="16"/>
  <c r="X7" i="16"/>
  <c r="F8" i="16"/>
  <c r="J8" i="16"/>
  <c r="F9" i="16"/>
  <c r="J9" i="16"/>
  <c r="F10" i="16"/>
  <c r="L10" i="16"/>
  <c r="F11" i="16"/>
  <c r="B12" i="16"/>
  <c r="G26" i="16"/>
  <c r="AB14" i="16" s="1"/>
  <c r="J10" i="16" l="1"/>
  <c r="AB13" i="16"/>
  <c r="I45" i="16" l="1"/>
  <c r="AC15" i="16"/>
  <c r="I48" i="16" l="1"/>
  <c r="C57" i="16" s="1"/>
  <c r="AH75" i="16" s="1"/>
  <c r="C55" i="16"/>
  <c r="C56" i="16"/>
  <c r="I47" i="16"/>
  <c r="AH88" i="16" l="1"/>
  <c r="AH79" i="16"/>
  <c r="AH87" i="16"/>
  <c r="AH81" i="16" l="1"/>
  <c r="AH80" i="16"/>
  <c r="AI79" i="16"/>
  <c r="AI80" i="16" l="1"/>
  <c r="AI81" i="16"/>
  <c r="AI84" i="16" l="1"/>
  <c r="D107" i="16" s="1"/>
  <c r="K108" i="16" s="1"/>
  <c r="J108" i="16"/>
  <c r="AI88" i="16" l="1"/>
  <c r="AI89"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<sst xmlns="http://schemas.openxmlformats.org/spreadsheetml/2006/main" count="175" uniqueCount="120">
  <si>
    <t>Date:</t>
  </si>
  <si>
    <t>Revision:</t>
  </si>
  <si>
    <t>b =</t>
  </si>
  <si>
    <t>Aspect Ratio</t>
  </si>
  <si>
    <t>R. Abbott</t>
  </si>
  <si>
    <t>=</t>
  </si>
  <si>
    <t>Author:</t>
  </si>
  <si>
    <t>Check:</t>
  </si>
  <si>
    <t xml:space="preserve"> </t>
  </si>
  <si>
    <t>Report:</t>
  </si>
  <si>
    <t>Section:</t>
  </si>
  <si>
    <t>Document Number:</t>
  </si>
  <si>
    <t>Revision Level :</t>
  </si>
  <si>
    <t>Page:</t>
  </si>
  <si>
    <t>νₑ =</t>
  </si>
  <si>
    <t>a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</si>
  <si>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</si>
  <si>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</si>
  <si>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</si>
  <si>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</si>
  <si>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</si>
  <si>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</si>
  <si>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</si>
  <si>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</si>
  <si>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</si>
  <si>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</si>
  <si>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</si>
  <si>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</si>
  <si>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</si>
  <si>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</si>
  <si>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</si>
  <si>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</si>
  <si>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</si>
  <si>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</si>
  <si>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</si>
  <si>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</si>
  <si>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</si>
  <si>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</si>
  <si>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</si>
  <si>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</si>
  <si>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</si>
  <si>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</si>
  <si>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</si>
  <si>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</si>
  <si>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</si>
  <si>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</si>
  <si>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</si>
  <si>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</si>
  <si>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</si>
  <si>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</si>
  <si>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</si>
  <si>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</si>
  <si>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</si>
  <si>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</si>
  <si>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</si>
  <si>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</si>
  <si>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</si>
  <si>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</si>
  <si>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</si>
  <si>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</si>
  <si>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</si>
  <si>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</si>
  <si>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</si>
  <si>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</si>
  <si>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</si>
  <si>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</si>
  <si>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</si>
  <si>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(Psi)</t>
  </si>
  <si>
    <t>Stress</t>
  </si>
  <si>
    <t>Modulus</t>
  </si>
  <si>
    <t>Elastic</t>
  </si>
  <si>
    <t>Tangent</t>
  </si>
  <si>
    <t>Compression</t>
  </si>
  <si>
    <t>Strain</t>
  </si>
  <si>
    <t>Buckling</t>
  </si>
  <si>
    <t>Factor</t>
  </si>
  <si>
    <t>plastic</t>
  </si>
  <si>
    <t>Osgood</t>
  </si>
  <si>
    <t>Plastic</t>
  </si>
  <si>
    <t>Plasticity</t>
  </si>
  <si>
    <t>v</t>
  </si>
  <si>
    <t>Secant</t>
  </si>
  <si>
    <t>Ramberg</t>
  </si>
  <si>
    <t>NACA 3781</t>
  </si>
  <si>
    <t>nc</t>
  </si>
  <si>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</si>
  <si>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</si>
  <si>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t>Secondary</t>
  </si>
  <si>
    <r>
      <t>n</t>
    </r>
    <r>
      <rPr>
        <vertAlign val="subscript"/>
        <sz val="10"/>
        <rFont val="Calibri"/>
        <family val="2"/>
        <scheme val="minor"/>
      </rPr>
      <t>cLT</t>
    </r>
    <r>
      <rPr>
        <sz val="10"/>
        <rFont val="Calibri"/>
        <family val="2"/>
        <scheme val="minor"/>
      </rPr>
      <t xml:space="preserve"> =</t>
    </r>
  </si>
  <si>
    <t>Primary</t>
  </si>
  <si>
    <r>
      <t>E</t>
    </r>
    <r>
      <rPr>
        <vertAlign val="subscript"/>
        <sz val="10"/>
        <rFont val="Calibri"/>
        <family val="2"/>
        <scheme val="minor"/>
      </rPr>
      <t>c</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</si>
  <si>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</si>
  <si>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</si>
  <si>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</si>
  <si>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</si>
  <si>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</si>
  <si>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</si>
  <si>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</si>
  <si>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</si>
  <si>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</si>
  <si>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</si>
  <si>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</si>
  <si>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</si>
  <si>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</si>
  <si>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Correcting the elastic buckling stress for material plasticity:</t>
  </si>
  <si>
    <t>(Note that the minimum of all shape factors will be used)</t>
  </si>
  <si>
    <t>Simply</t>
  </si>
  <si>
    <t>Supported</t>
  </si>
  <si>
    <t>Clamped</t>
  </si>
  <si>
    <t>www.xl-viking.com</t>
  </si>
  <si>
    <t>http://www.abbottaerospace.com/subscribe</t>
  </si>
  <si>
    <t>http://www.xl-viking.com/download-free-trial/</t>
  </si>
  <si>
    <t>http://www.abbottaerospace.com/engineering-services</t>
  </si>
  <si>
    <t>(NACA-TN-3781, 1957)</t>
  </si>
  <si>
    <t>AA-SM-007-033</t>
  </si>
  <si>
    <t>PLASTIC COMPRESSION BUCKLING OF FLAT ISOTROPIC FLANGE</t>
  </si>
  <si>
    <t>The plasticity correction factor for a clamped flange is used, this is conservative for all edge conditions</t>
  </si>
  <si>
    <t>Flange Thickness</t>
  </si>
  <si>
    <t>Compression Stress in the Flange</t>
  </si>
  <si>
    <t>Flange Buckling Allowable corrected for Material Plasticity effects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</si>
</sst>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10"/>
      <color rgb="FF0000FF"/>
      <name val="Calibri"/>
      <family val="2"/>
    </font>
    <font>
      <vertAlign val="subscript"/>
      <sz val="10"/>
      <name val="Calibri"/>
      <family val="2"/>
      <scheme val="minor"/>
    </font>
    <font>
      <b/>
      <sz val="8"/>
      <color indexed="81"/>
      <name val="Tahoma"/>
      <family val="2"/>
    </font>
    <font>
      <sz val="8"/>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0" fontId="24" fillId="0" borderId="0" applyNumberFormat="0" applyFill="0" applyBorder="0" applyAlignment="0" applyProtection="0"/>
  </cellStyleXfs>
  <cellXfs count="144">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6" fontId="5" fillId="0" borderId="0" xfId="0" applyNumberFormat="1" applyFont="1" applyBorder="1" applyAlignment="1">
      <alignment horizontal="left"/>
    </xf>
    <xf numFmtId="1" fontId="5" fillId="0" borderId="0" xfId="0" applyNumberFormat="1" applyFont="1" applyBorder="1" applyAlignment="1">
      <alignment horizontal="center"/>
    </xf>
    <xf numFmtId="166"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alignment horizontal="left"/>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3" fillId="0" borderId="0" xfId="0" applyFont="1"/>
    <xf numFmtId="0" fontId="18" fillId="0" borderId="0" xfId="5" applyFont="1" applyBorder="1" applyAlignment="1" applyProtection="1">
      <alignment horizontal="left"/>
      <protection locked="0"/>
    </xf>
    <xf numFmtId="2" fontId="5" fillId="0" borderId="0" xfId="0" quotePrefix="1"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2" xfId="0" applyFont="1" applyBorder="1" applyAlignment="1">
      <alignment horizontal="center"/>
    </xf>
    <xf numFmtId="1" fontId="5" fillId="0" borderId="0" xfId="0" applyNumberFormat="1" applyFont="1" applyBorder="1" applyAlignment="1" applyProtection="1">
      <alignment horizontal="center"/>
      <protection locked="0"/>
    </xf>
    <xf numFmtId="165" fontId="5" fillId="0" borderId="0" xfId="0" applyNumberFormat="1" applyFont="1" applyBorder="1" applyAlignment="1" applyProtection="1">
      <alignment horizontal="center"/>
      <protection locked="0"/>
    </xf>
    <xf numFmtId="2"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165" fontId="8" fillId="0" borderId="0" xfId="0" applyNumberFormat="1" applyFont="1" applyBorder="1" applyAlignment="1" applyProtection="1">
      <alignment horizontal="right"/>
      <protection locked="0"/>
    </xf>
    <xf numFmtId="167" fontId="5" fillId="0" borderId="0" xfId="0" applyNumberFormat="1" applyFont="1" applyBorder="1" applyAlignment="1">
      <alignment horizontal="center"/>
    </xf>
    <xf numFmtId="0" fontId="5" fillId="0" borderId="0" xfId="0" applyFont="1" applyBorder="1" applyAlignment="1" applyProtection="1">
      <alignment horizontal="left"/>
      <protection locked="0"/>
    </xf>
    <xf numFmtId="166" fontId="5" fillId="0" borderId="0" xfId="0" applyNumberFormat="1" applyFont="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right"/>
      <protection locked="0"/>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shrinkToFit="1"/>
      <protection locked="0"/>
    </xf>
    <xf numFmtId="2" fontId="8" fillId="0" borderId="0" xfId="0" applyNumberFormat="1" applyFont="1" applyBorder="1" applyAlignment="1" applyProtection="1">
      <alignment vertical="top"/>
      <protection locked="0"/>
    </xf>
    <xf numFmtId="1" fontId="5" fillId="0" borderId="0" xfId="0" applyNumberFormat="1" applyFont="1"/>
    <xf numFmtId="0" fontId="16" fillId="0" borderId="0" xfId="0" applyFont="1" applyBorder="1" applyAlignment="1" applyProtection="1">
      <alignment horizontal="left"/>
      <protection locked="0"/>
    </xf>
    <xf numFmtId="0" fontId="5" fillId="0" borderId="0" xfId="0" applyFont="1" applyBorder="1" applyAlignment="1" applyProtection="1">
      <alignment vertical="top"/>
      <protection locked="0"/>
    </xf>
    <xf numFmtId="0" fontId="5" fillId="0" borderId="0" xfId="0" applyFont="1" applyAlignment="1">
      <alignment vertical="top"/>
    </xf>
    <xf numFmtId="164" fontId="8" fillId="0" borderId="0" xfId="0" applyNumberFormat="1" applyFont="1" applyBorder="1" applyProtection="1">
      <protection locked="0"/>
    </xf>
    <xf numFmtId="0" fontId="16" fillId="0" borderId="0" xfId="0" applyFont="1" applyBorder="1" applyProtection="1">
      <protection locked="0"/>
    </xf>
    <xf numFmtId="0" fontId="5" fillId="0" borderId="0" xfId="0" applyFont="1" applyFill="1" applyAlignment="1" applyProtection="1">
      <alignment horizontal="left"/>
      <protection locked="0"/>
    </xf>
    <xf numFmtId="1" fontId="16" fillId="0" borderId="0" xfId="5" applyNumberFormat="1" applyFont="1" applyBorder="1" applyAlignment="1" applyProtection="1">
      <protection locked="0"/>
    </xf>
    <xf numFmtId="0" fontId="5" fillId="0" borderId="0" xfId="0" applyFont="1" applyBorder="1" applyAlignment="1" applyProtection="1">
      <alignment horizontal="center" shrinkToFit="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3" fillId="0" borderId="0" xfId="8" applyFont="1"/>
    <xf numFmtId="0" fontId="23" fillId="0" borderId="0" xfId="9" applyFont="1" applyBorder="1" applyAlignment="1" applyProtection="1">
      <alignment horizontal="center"/>
    </xf>
    <xf numFmtId="0" fontId="24" fillId="0" borderId="0" xfId="9" applyBorder="1" applyAlignment="1">
      <alignment horizontal="center"/>
    </xf>
    <xf numFmtId="164" fontId="5" fillId="0" borderId="0" xfId="4" applyNumberFormat="1" applyFont="1" applyBorder="1" applyAlignment="1">
      <alignment horizontal="center"/>
    </xf>
    <xf numFmtId="166" fontId="5" fillId="0" borderId="0" xfId="0" applyNumberFormat="1" applyFont="1" applyAlignment="1">
      <alignment horizontal="center"/>
    </xf>
    <xf numFmtId="165" fontId="5" fillId="0" borderId="0" xfId="0" applyNumberFormat="1" applyFont="1" applyAlignment="1">
      <alignment horizontal="left"/>
    </xf>
    <xf numFmtId="2" fontId="16"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xf numFmtId="0" fontId="8" fillId="0" borderId="0" xfId="0" applyFont="1" applyBorder="1" applyAlignment="1" applyProtection="1">
      <alignment horizontal="center"/>
      <protection locked="0"/>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'Flat Plates (2)'!$Y$13:$Y$59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 (2)'!$Z$13:$Z$59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'Flat Plates (2)'!$AB$13:$AB$15</c:f>
              <c:numCache>
                <c:formatCode>0.00</c:formatCode>
                <c:ptCount val="3"/>
                <c:pt idx="0">
                  <c:v>2.6666666666666665</c:v>
                </c:pt>
                <c:pt idx="1">
                  <c:v>2.6666666666666665</c:v>
                </c:pt>
                <c:pt idx="2" formatCode="0%">
                  <c:v>0</c:v>
                </c:pt>
              </c:numCache>
            </c:numRef>
          </c:xVal>
          <c:yVal>
            <c:numRef>
              <c:f>'Flat Plates (2)'!$AC$13:$AC$15</c:f>
              <c:numCache>
                <c:formatCode>0.0</c:formatCode>
                <c:ptCount val="3"/>
                <c:pt idx="0" formatCode="0.00">
                  <c:v>0</c:v>
                </c:pt>
                <c:pt idx="1">
                  <c:v>0.56009470027927832</c:v>
                </c:pt>
                <c:pt idx="2" formatCode="0.00">
                  <c:v>0.56009470027927832</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4"/>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'Flat Plates (2)'!$AC$25:$AC$41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'Flat Plates (2)'!$AE$25:$AE$41</c:f>
              <c:numCache>
                <c:formatCode>General</c:formatCode>
                <c:ptCount val="17"/>
                <c:pt idx="0">
                  <c:v>1</c:v>
                </c:pt>
                <c:pt idx="1">
                  <c:v>1.06</c:v>
                </c:pt>
                <c:pt idx="2">
                  <c:v>1.1399999999999999</c:v>
                </c:pt>
                <c:pt idx="3">
                  <c:v>1.2</c:v>
                </c:pt>
                <c:pt idx="4">
                  <c:v>1.26</c:v>
                </c:pt>
                <c:pt idx="5">
                  <c:v>1.35</c:v>
                </c:pt>
                <c:pt idx="6">
                  <c:v>1.42</c:v>
                </c:pt>
                <c:pt idx="7">
                  <c:v>1.5</c:v>
                </c:pt>
                <c:pt idx="8">
                  <c:v>1.56</c:v>
                </c:pt>
                <c:pt idx="9">
                  <c:v>1.64</c:v>
                </c:pt>
                <c:pt idx="10">
                  <c:v>1.72</c:v>
                </c:pt>
                <c:pt idx="11">
                  <c:v>1.86</c:v>
                </c:pt>
                <c:pt idx="12">
                  <c:v>1.96</c:v>
                </c:pt>
                <c:pt idx="13">
                  <c:v>2.14</c:v>
                </c:pt>
                <c:pt idx="14">
                  <c:v>2.2400000000000002</c:v>
                </c:pt>
                <c:pt idx="15">
                  <c:v>2.4</c:v>
                </c:pt>
                <c:pt idx="16">
                  <c:v>2.5</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'Flat Plates (2)'!$AI$28:$AI$30</c:f>
              <c:numCache>
                <c:formatCode>0.00</c:formatCode>
                <c:ptCount val="3"/>
                <c:pt idx="0">
                  <c:v>6.0689393580200077</c:v>
                </c:pt>
                <c:pt idx="1">
                  <c:v>6.0689393580200077</c:v>
                </c:pt>
                <c:pt idx="2" formatCode="General">
                  <c:v>0.1</c:v>
                </c:pt>
              </c:numCache>
            </c:numRef>
          </c:xVal>
          <c:yVal>
            <c:numRef>
              <c:f>'Flat Plates (2)'!$AJ$28:$AJ$30</c:f>
              <c:numCache>
                <c:formatCode>General</c:formatCode>
                <c:ptCount val="3"/>
                <c:pt idx="0">
                  <c:v>0</c:v>
                </c:pt>
                <c:pt idx="1">
                  <c:v>1.3524128775307003</c:v>
                </c:pt>
                <c:pt idx="2">
                  <c:v>1.3524128775307003</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Flange Compression Buckling Curve</c:v>
          </c:tx>
          <c:spPr>
            <a:ln w="19050">
              <a:solidFill>
                <a:schemeClr val="tx1"/>
              </a:solidFill>
              <a:prstDash val="solid"/>
            </a:ln>
          </c:spPr>
          <c:marker>
            <c:symbol val="none"/>
          </c:marker>
          <c:xVal>
            <c:numRef>
              <c:f>'Flat Plates (2)'!$AF$78:$AF$103</c:f>
              <c:numCache>
                <c:formatCode>0</c:formatCode>
                <c:ptCount val="26"/>
                <c:pt idx="0">
                  <c:v>0</c:v>
                </c:pt>
                <c:pt idx="1">
                  <c:v>37229.837669566296</c:v>
                </c:pt>
                <c:pt idx="2">
                  <c:v>38307.950096871587</c:v>
                </c:pt>
                <c:pt idx="3">
                  <c:v>39435.633973981399</c:v>
                </c:pt>
                <c:pt idx="4">
                  <c:v>40638.50178865542</c:v>
                </c:pt>
                <c:pt idx="5">
                  <c:v>41952.87009335684</c:v>
                </c:pt>
                <c:pt idx="6">
                  <c:v>43428.244763579438</c:v>
                </c:pt>
                <c:pt idx="7">
                  <c:v>45128.752118357705</c:v>
                </c:pt>
                <c:pt idx="8">
                  <c:v>47132.165667675654</c:v>
                </c:pt>
                <c:pt idx="9">
                  <c:v>49525.385210029912</c:v>
                </c:pt>
                <c:pt idx="10">
                  <c:v>52396.920424433672</c:v>
                </c:pt>
                <c:pt idx="11">
                  <c:v>55830.437905879771</c:v>
                </c:pt>
                <c:pt idx="12">
                  <c:v>59907.135423662563</c:v>
                </c:pt>
                <c:pt idx="13">
                  <c:v>64725.036725692808</c:v>
                </c:pt>
                <c:pt idx="14">
                  <c:v>70438.025826315614</c:v>
                </c:pt>
                <c:pt idx="15">
                  <c:v>77309.612951141287</c:v>
                </c:pt>
                <c:pt idx="16">
                  <c:v>85772.81315538942</c:v>
                </c:pt>
                <c:pt idx="17">
                  <c:v>97397.678488220306</c:v>
                </c:pt>
                <c:pt idx="18">
                  <c:v>118388.27523941857</c:v>
                </c:pt>
                <c:pt idx="19">
                  <c:v>150376.66310458316</c:v>
                </c:pt>
                <c:pt idx="20">
                  <c:v>200187.19983728896</c:v>
                </c:pt>
                <c:pt idx="21">
                  <c:v>278393.09065919271</c:v>
                </c:pt>
                <c:pt idx="22">
                  <c:v>401234.59832852945</c:v>
                </c:pt>
                <c:pt idx="23">
                  <c:v>593440.6745729706</c:v>
                </c:pt>
                <c:pt idx="24">
                  <c:v>892342.60452646972</c:v>
                </c:pt>
                <c:pt idx="25">
                  <c:v>1353831.3127986884</c:v>
                </c:pt>
              </c:numCache>
            </c:numRef>
          </c:xVal>
          <c:yVal>
            <c:numRef>
              <c:f>'Flat Plates (2)'!$X$78:$X$103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4660-4710-80F3-2CDAFE88DDAB}"/>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4660-4710-80F3-2CDAFE88DDAB}"/>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 (2)'!$AH$87:$AH$88</c:f>
              <c:numCache>
                <c:formatCode>0</c:formatCode>
                <c:ptCount val="2"/>
                <c:pt idx="0">
                  <c:v>32164.414829030375</c:v>
                </c:pt>
                <c:pt idx="1">
                  <c:v>32164.414829030375</c:v>
                </c:pt>
              </c:numCache>
            </c:numRef>
          </c:xVal>
          <c:yVal>
            <c:numRef>
              <c:f>'Flat Plates (2)'!$AI$87:$AI$88</c:f>
              <c:numCache>
                <c:formatCode>General</c:formatCode>
                <c:ptCount val="2"/>
                <c:pt idx="0">
                  <c:v>0</c:v>
                </c:pt>
                <c:pt idx="1">
                  <c:v>32052.242632594003</c:v>
                </c:pt>
              </c:numCache>
            </c:numRef>
          </c:yVal>
          <c:smooth val="0"/>
          <c:extLst>
            <c:ext xmlns:c16="http://schemas.microsoft.com/office/drawing/2014/chart" uri="{C3380CC4-5D6E-409C-BE32-E72D297353CC}">
              <c16:uniqueId val="{00000001-4660-4710-80F3-2CDAFE88DDAB}"/>
            </c:ext>
          </c:extLst>
        </c:ser>
        <c:ser>
          <c:idx val="2"/>
          <c:order val="2"/>
          <c:tx>
            <c:v>Simple Fcy Cutoff</c:v>
          </c:tx>
          <c:spPr>
            <a:ln w="19050">
              <a:solidFill>
                <a:schemeClr val="bg1">
                  <a:lumMod val="50000"/>
                </a:schemeClr>
              </a:solidFill>
              <a:prstDash val="dash"/>
            </a:ln>
          </c:spPr>
          <c:marker>
            <c:symbol val="none"/>
          </c:marker>
          <c:xVal>
            <c:numRef>
              <c:f>'Flat Plates (2)'!$AH$93:$AH$95</c:f>
              <c:numCache>
                <c:formatCode>0</c:formatCode>
                <c:ptCount val="3"/>
                <c:pt idx="0" formatCode="General">
                  <c:v>0</c:v>
                </c:pt>
                <c:pt idx="1">
                  <c:v>53000</c:v>
                </c:pt>
                <c:pt idx="2">
                  <c:v>1353831.3127986884</c:v>
                </c:pt>
              </c:numCache>
            </c:numRef>
          </c:xVal>
          <c:yVal>
            <c:numRef>
              <c:f>'Flat Plates (2)'!$AI$93:$AI$95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2-4660-4710-80F3-2CDAFE88DDAB}"/>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4660-4710-80F3-2CDAFE88DDAB}"/>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'Flat Plates (2)'!$AH$88:$AH$89</c:f>
              <c:numCache>
                <c:formatCode>General</c:formatCode>
                <c:ptCount val="2"/>
                <c:pt idx="0" formatCode="0">
                  <c:v>32164.414829030375</c:v>
                </c:pt>
                <c:pt idx="1">
                  <c:v>0</c:v>
                </c:pt>
              </c:numCache>
            </c:numRef>
          </c:xVal>
          <c:yVal>
            <c:numRef>
              <c:f>'Flat Plates (2)'!$AI$88:$AI$89</c:f>
              <c:numCache>
                <c:formatCode>General</c:formatCode>
                <c:ptCount val="2"/>
                <c:pt idx="0">
                  <c:v>32052.242632594003</c:v>
                </c:pt>
                <c:pt idx="1">
                  <c:v>32052.242632594003</c:v>
                </c:pt>
              </c:numCache>
            </c:numRef>
          </c:yVal>
          <c:smooth val="0"/>
          <c:extLst>
            <c:ext xmlns:c16="http://schemas.microsoft.com/office/drawing/2014/chart" uri="{C3380CC4-5D6E-409C-BE32-E72D297353CC}">
              <c16:uniqueId val="{00000004-4660-4710-80F3-2CDAFE88DDAB}"/>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58354174658239777"/>
          <c:y val="0.6171005815798416"/>
          <c:w val="0.345645894420351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hart" Target="../charts/chart3.xml"/><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97972</xdr:rowOff>
    </xdr:from>
    <xdr:to>
      <xdr:col>7</xdr:col>
      <xdr:colOff>373517</xdr:colOff>
      <xdr:row>40</xdr:row>
      <xdr:rowOff>87086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581833"/>
          <a:ext cx="2882431" cy="1278114"/>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65" name="Group 64"/>
        <xdr:cNvGrpSpPr/>
      </xdr:nvGrpSpPr>
      <xdr:grpSpPr>
        <a:xfrm>
          <a:off x="40822" y="1260021"/>
          <a:ext cx="2507796" cy="626929"/>
          <a:chOff x="40822" y="1267641"/>
          <a:chExt cx="2570933" cy="630195"/>
        </a:xfrm>
      </xdr:grpSpPr>
      <xdr:pic>
        <xdr:nvPicPr>
          <xdr:cNvPr id="66" name="Picture 65">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7" name="Picture 66"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8" name="Group 67"/>
        <xdr:cNvGrpSpPr/>
      </xdr:nvGrpSpPr>
      <xdr:grpSpPr>
        <a:xfrm>
          <a:off x="40822" y="10632621"/>
          <a:ext cx="2507796" cy="626929"/>
          <a:chOff x="40822" y="1267641"/>
          <a:chExt cx="2570933" cy="630195"/>
        </a:xfrm>
      </xdr:grpSpPr>
      <xdr:pic>
        <xdr:nvPicPr>
          <xdr:cNvPr id="69" name="Picture 6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180108</xdr:colOff>
      <xdr:row>27</xdr:row>
      <xdr:rowOff>69272</xdr:rowOff>
    </xdr:from>
    <xdr:to>
      <xdr:col>7</xdr:col>
      <xdr:colOff>33250</xdr:colOff>
      <xdr:row>30</xdr:row>
      <xdr:rowOff>139239</xdr:rowOff>
    </xdr:to>
    <xdr:pic>
      <xdr:nvPicPr>
        <xdr:cNvPr id="60" name="Picture 59"/>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50472" y="4959927"/>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421342</xdr:colOff>
      <xdr:row>80</xdr:row>
      <xdr:rowOff>53788</xdr:rowOff>
    </xdr:from>
    <xdr:to>
      <xdr:col>8</xdr:col>
      <xdr:colOff>539676</xdr:colOff>
      <xdr:row>83</xdr:row>
      <xdr:rowOff>114748</xdr:rowOff>
    </xdr:to>
    <xdr:pic>
      <xdr:nvPicPr>
        <xdr:cNvPr id="51" name="Picture 50"/>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8471" y="14531788"/>
          <a:ext cx="3829723" cy="598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13" Type="http://schemas.openxmlformats.org/officeDocument/2006/relationships/comments" Target="../comments1.xml"/><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vmlDrawing" Target="../drawings/vmlDrawing2.vml"/><Relationship Id="rId12" Type="http://schemas.openxmlformats.org/officeDocument/2006/relationships/oleObject" Target="../embeddings/oleObject4.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11" Type="http://schemas.openxmlformats.org/officeDocument/2006/relationships/oleObject" Target="../embeddings/oleObject3.bin"/><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download/naca-tn-3781-handbook-of-structural-stability-part-i-buckling-of-flat-plates" TargetMode="Externa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18</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8" t="s">
        <v>45</v>
      </c>
      <c r="C16" s="138"/>
      <c r="D16" s="138"/>
      <c r="E16" s="138"/>
      <c r="F16" s="138"/>
      <c r="G16" s="138"/>
      <c r="H16" s="138"/>
      <c r="I16" s="138"/>
      <c r="J16" s="138"/>
      <c r="M16" s="49"/>
      <c r="N16" s="49"/>
      <c r="O16" s="49"/>
      <c r="P16" s="49"/>
      <c r="Q16" s="49"/>
      <c r="R16" s="50"/>
      <c r="S16" s="50"/>
      <c r="T16" s="45"/>
      <c r="U16" s="45"/>
      <c r="V16" s="45"/>
      <c r="W16" s="45"/>
      <c r="X16" s="45"/>
      <c r="Y16" s="45"/>
    </row>
    <row r="17" spans="1:25" s="43" customFormat="1" ht="13.8" x14ac:dyDescent="0.3">
      <c r="B17" s="138"/>
      <c r="C17" s="138"/>
      <c r="D17" s="138"/>
      <c r="E17" s="138"/>
      <c r="F17" s="138"/>
      <c r="G17" s="138"/>
      <c r="H17" s="138"/>
      <c r="I17" s="138"/>
      <c r="J17" s="138"/>
      <c r="M17" s="49"/>
      <c r="N17" s="49"/>
      <c r="O17" s="49"/>
      <c r="P17" s="49"/>
      <c r="Q17" s="49"/>
      <c r="R17" s="50"/>
      <c r="S17" s="50"/>
      <c r="T17" s="45"/>
      <c r="U17" s="45"/>
      <c r="V17" s="45"/>
      <c r="W17" s="45"/>
      <c r="X17" s="45"/>
      <c r="Y17" s="45"/>
    </row>
    <row r="18" spans="1:25" s="43" customFormat="1" ht="13.8" x14ac:dyDescent="0.3">
      <c r="B18" s="138"/>
      <c r="C18" s="138"/>
      <c r="D18" s="138"/>
      <c r="E18" s="138"/>
      <c r="F18" s="138"/>
      <c r="G18" s="138"/>
      <c r="H18" s="138"/>
      <c r="I18" s="138"/>
      <c r="J18" s="138"/>
      <c r="M18" s="49"/>
      <c r="N18" s="49"/>
      <c r="O18" s="49"/>
      <c r="P18" s="49"/>
      <c r="Q18" s="49"/>
      <c r="R18" s="50"/>
      <c r="S18" s="50"/>
      <c r="T18" s="45"/>
      <c r="U18" s="45"/>
      <c r="V18" s="45"/>
      <c r="W18" s="45"/>
      <c r="X18" s="45"/>
      <c r="Y18" s="45"/>
    </row>
    <row r="19" spans="1:25" s="43" customFormat="1" ht="13.8" x14ac:dyDescent="0.3">
      <c r="B19" s="138"/>
      <c r="C19" s="138"/>
      <c r="D19" s="138"/>
      <c r="E19" s="138"/>
      <c r="F19" s="138"/>
      <c r="G19" s="138"/>
      <c r="H19" s="138"/>
      <c r="I19" s="138"/>
      <c r="J19" s="138"/>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8" t="s">
        <v>46</v>
      </c>
      <c r="C22" s="138"/>
      <c r="D22" s="138"/>
      <c r="E22" s="138"/>
      <c r="F22" s="138"/>
      <c r="G22" s="138"/>
      <c r="H22" s="138"/>
      <c r="I22" s="138"/>
      <c r="J22" s="138"/>
      <c r="K22" s="65"/>
      <c r="M22" s="49"/>
      <c r="N22" s="49"/>
      <c r="O22" s="49"/>
      <c r="P22" s="49"/>
      <c r="Q22" s="49"/>
      <c r="R22" s="50"/>
      <c r="S22" s="50"/>
      <c r="T22" s="45"/>
      <c r="U22" s="45"/>
      <c r="V22" s="45"/>
      <c r="W22" s="45"/>
      <c r="X22" s="45"/>
      <c r="Y22" s="45"/>
    </row>
    <row r="23" spans="1:25" s="43" customFormat="1" ht="13.8" x14ac:dyDescent="0.3">
      <c r="A23" s="65"/>
      <c r="B23" s="138"/>
      <c r="C23" s="138"/>
      <c r="D23" s="138"/>
      <c r="E23" s="138"/>
      <c r="F23" s="138"/>
      <c r="G23" s="138"/>
      <c r="H23" s="138"/>
      <c r="I23" s="138"/>
      <c r="J23" s="138"/>
      <c r="K23" s="65"/>
      <c r="M23" s="49"/>
      <c r="N23" s="49"/>
      <c r="O23" s="49"/>
      <c r="P23" s="49"/>
      <c r="Q23" s="49"/>
      <c r="R23" s="50"/>
      <c r="S23" s="66"/>
      <c r="T23" s="45"/>
      <c r="U23" s="45"/>
      <c r="V23" s="45"/>
      <c r="W23" s="45"/>
      <c r="X23" s="45"/>
      <c r="Y23" s="45"/>
    </row>
    <row r="24" spans="1:25" s="43" customFormat="1" ht="13.8" x14ac:dyDescent="0.3">
      <c r="A24" s="65"/>
      <c r="B24" s="138"/>
      <c r="C24" s="138"/>
      <c r="D24" s="138"/>
      <c r="E24" s="138"/>
      <c r="F24" s="138"/>
      <c r="G24" s="138"/>
      <c r="H24" s="138"/>
      <c r="I24" s="138"/>
      <c r="J24" s="138"/>
      <c r="K24" s="65"/>
      <c r="M24" s="49"/>
      <c r="N24" s="49"/>
      <c r="O24" s="49"/>
      <c r="P24" s="49"/>
      <c r="Q24" s="49"/>
      <c r="R24" s="50"/>
      <c r="S24" s="66"/>
      <c r="T24" s="45"/>
      <c r="U24" s="45"/>
      <c r="V24" s="45"/>
      <c r="W24" s="45"/>
      <c r="X24" s="45"/>
      <c r="Y24" s="45"/>
    </row>
    <row r="25" spans="1:25" s="43" customFormat="1" ht="12.75" customHeight="1" x14ac:dyDescent="0.3">
      <c r="A25" s="65"/>
      <c r="B25" s="129"/>
      <c r="C25" s="129"/>
      <c r="D25" s="129"/>
      <c r="E25" s="129"/>
      <c r="F25" s="132" t="s">
        <v>110</v>
      </c>
      <c r="G25" s="129"/>
      <c r="H25" s="129"/>
      <c r="I25" s="129"/>
      <c r="J25" s="129"/>
      <c r="K25" s="65"/>
      <c r="M25" s="49"/>
      <c r="N25" s="49"/>
      <c r="O25" s="49"/>
      <c r="P25" s="49"/>
      <c r="Q25" s="49"/>
      <c r="R25" s="50"/>
      <c r="S25" s="50"/>
      <c r="T25" s="45"/>
      <c r="U25" s="45"/>
      <c r="V25" s="45"/>
      <c r="W25" s="45"/>
      <c r="X25" s="45"/>
      <c r="Y25" s="45"/>
    </row>
    <row r="26" spans="1:25" s="43" customFormat="1" ht="13.8" x14ac:dyDescent="0.3">
      <c r="A26" s="65"/>
      <c r="B26" s="138" t="s">
        <v>47</v>
      </c>
      <c r="C26" s="138"/>
      <c r="D26" s="138"/>
      <c r="E26" s="138"/>
      <c r="F26" s="138"/>
      <c r="G26" s="138"/>
      <c r="H26" s="138"/>
      <c r="I26" s="138"/>
      <c r="J26" s="138"/>
      <c r="K26" s="65"/>
      <c r="M26" s="49"/>
      <c r="N26" s="49"/>
      <c r="O26" s="49"/>
      <c r="P26" s="49"/>
      <c r="Q26" s="49"/>
      <c r="R26" s="50"/>
      <c r="S26" s="50"/>
      <c r="T26" s="45"/>
      <c r="U26" s="45"/>
      <c r="V26" s="45"/>
      <c r="W26" s="45"/>
      <c r="X26" s="45"/>
      <c r="Y26" s="45"/>
    </row>
    <row r="27" spans="1:25" s="43" customFormat="1" ht="13.8" x14ac:dyDescent="0.3">
      <c r="A27" s="65"/>
      <c r="B27" s="138"/>
      <c r="C27" s="138"/>
      <c r="D27" s="138"/>
      <c r="E27" s="138"/>
      <c r="F27" s="138"/>
      <c r="G27" s="138"/>
      <c r="H27" s="138"/>
      <c r="I27" s="138"/>
      <c r="J27" s="138"/>
      <c r="K27" s="65"/>
      <c r="M27" s="49"/>
      <c r="N27" s="49"/>
      <c r="O27" s="49"/>
      <c r="P27" s="49"/>
      <c r="Q27" s="49"/>
      <c r="R27" s="50"/>
      <c r="S27" s="50"/>
      <c r="T27" s="45"/>
      <c r="U27" s="45"/>
      <c r="V27" s="45"/>
      <c r="W27" s="45"/>
      <c r="X27" s="45"/>
      <c r="Y27" s="45"/>
    </row>
    <row r="28" spans="1:25" s="43" customFormat="1" ht="13.8" x14ac:dyDescent="0.3">
      <c r="A28" s="65"/>
      <c r="B28" s="129"/>
      <c r="C28" s="129"/>
      <c r="D28" s="129"/>
      <c r="E28" s="129"/>
      <c r="F28" s="129"/>
      <c r="G28" s="129"/>
      <c r="H28" s="129"/>
      <c r="I28" s="129"/>
      <c r="J28" s="129"/>
      <c r="K28" s="65"/>
      <c r="M28" s="49"/>
      <c r="N28" s="49"/>
      <c r="O28" s="49"/>
      <c r="P28" s="49"/>
      <c r="Q28" s="49"/>
      <c r="R28" s="50"/>
      <c r="S28" s="50"/>
      <c r="T28" s="45"/>
      <c r="U28" s="45"/>
      <c r="V28" s="45"/>
      <c r="W28" s="45"/>
      <c r="X28" s="45"/>
      <c r="Y28" s="45"/>
    </row>
    <row r="29" spans="1:25" s="43" customFormat="1" ht="13.8" x14ac:dyDescent="0.3">
      <c r="A29" s="65"/>
      <c r="B29" s="138" t="s">
        <v>48</v>
      </c>
      <c r="C29" s="138"/>
      <c r="D29" s="138"/>
      <c r="E29" s="138"/>
      <c r="F29" s="138"/>
      <c r="G29" s="138"/>
      <c r="H29" s="138"/>
      <c r="I29" s="138"/>
      <c r="J29" s="138"/>
      <c r="K29" s="65"/>
      <c r="M29" s="49"/>
      <c r="N29" s="49"/>
      <c r="O29" s="49"/>
      <c r="P29" s="49"/>
      <c r="Q29" s="49"/>
      <c r="R29" s="50"/>
      <c r="S29" s="50"/>
      <c r="T29" s="45"/>
      <c r="U29" s="45"/>
      <c r="V29" s="45"/>
      <c r="W29" s="45"/>
      <c r="X29" s="45"/>
      <c r="Y29" s="45"/>
    </row>
    <row r="30" spans="1:25" s="43" customFormat="1" ht="13.8" x14ac:dyDescent="0.3">
      <c r="A30" s="65"/>
      <c r="B30" s="138"/>
      <c r="C30" s="138"/>
      <c r="D30" s="138"/>
      <c r="E30" s="138"/>
      <c r="F30" s="138"/>
      <c r="G30" s="138"/>
      <c r="H30" s="138"/>
      <c r="I30" s="138"/>
      <c r="J30" s="138"/>
      <c r="K30" s="65"/>
      <c r="M30" s="49"/>
      <c r="N30" s="49"/>
      <c r="O30" s="49"/>
      <c r="P30" s="49"/>
      <c r="Q30" s="49"/>
      <c r="R30" s="50"/>
      <c r="S30" s="50"/>
      <c r="T30" s="45"/>
      <c r="U30" s="45"/>
      <c r="V30" s="45"/>
      <c r="W30" s="45"/>
      <c r="X30" s="45"/>
      <c r="Y30" s="45"/>
    </row>
    <row r="31" spans="1:25" s="43" customFormat="1" ht="12.75" customHeight="1" x14ac:dyDescent="0.3">
      <c r="A31" s="65"/>
      <c r="B31" s="138"/>
      <c r="C31" s="138"/>
      <c r="D31" s="138"/>
      <c r="E31" s="138"/>
      <c r="F31" s="138"/>
      <c r="G31" s="138"/>
      <c r="H31" s="138"/>
      <c r="I31" s="138"/>
      <c r="J31" s="138"/>
      <c r="K31" s="65"/>
      <c r="M31" s="49"/>
      <c r="N31" s="49"/>
      <c r="O31" s="49"/>
      <c r="P31" s="49"/>
      <c r="Q31" s="49"/>
      <c r="R31" s="50"/>
      <c r="S31" s="50"/>
      <c r="T31" s="45"/>
      <c r="U31" s="45"/>
      <c r="V31" s="45"/>
      <c r="W31" s="45"/>
      <c r="X31" s="45"/>
      <c r="Y31" s="45"/>
    </row>
    <row r="32" spans="1:25" s="43" customFormat="1" ht="13.8" x14ac:dyDescent="0.3">
      <c r="A32" s="65"/>
      <c r="B32" s="138"/>
      <c r="C32" s="138"/>
      <c r="D32" s="138"/>
      <c r="E32" s="138"/>
      <c r="F32" s="138"/>
      <c r="G32" s="138"/>
      <c r="H32" s="138"/>
      <c r="I32" s="138"/>
      <c r="J32" s="138"/>
      <c r="K32" s="65"/>
      <c r="M32" s="49"/>
      <c r="N32" s="49"/>
      <c r="O32" s="49"/>
      <c r="P32" s="49"/>
      <c r="Q32" s="49"/>
      <c r="R32" s="50"/>
      <c r="S32" s="50"/>
      <c r="T32" s="45"/>
      <c r="U32" s="45"/>
      <c r="V32" s="45"/>
      <c r="W32" s="45"/>
      <c r="X32" s="45"/>
      <c r="Y32" s="45"/>
    </row>
    <row r="33" spans="1:25" s="43" customFormat="1" ht="12.75" customHeight="1" x14ac:dyDescent="0.3">
      <c r="A33" s="65"/>
      <c r="B33" s="138"/>
      <c r="C33" s="138"/>
      <c r="D33" s="138"/>
      <c r="E33" s="138"/>
      <c r="F33" s="138"/>
      <c r="G33" s="138"/>
      <c r="H33" s="138"/>
      <c r="I33" s="138"/>
      <c r="J33" s="138"/>
      <c r="K33" s="65"/>
      <c r="M33" s="49"/>
      <c r="N33" s="49"/>
      <c r="O33" s="49"/>
      <c r="P33" s="49"/>
      <c r="Q33" s="49"/>
      <c r="R33" s="50"/>
      <c r="S33" s="50"/>
      <c r="T33" s="45"/>
      <c r="U33" s="45"/>
      <c r="V33" s="45"/>
      <c r="W33" s="45"/>
      <c r="X33" s="45"/>
      <c r="Y33" s="45"/>
    </row>
    <row r="34" spans="1:25" s="43" customFormat="1" ht="13.8" x14ac:dyDescent="0.3">
      <c r="A34" s="65"/>
      <c r="B34" s="129"/>
      <c r="C34" s="129"/>
      <c r="D34" s="140" t="s">
        <v>27</v>
      </c>
      <c r="E34" s="140"/>
      <c r="F34" s="140"/>
      <c r="G34" s="140"/>
      <c r="H34" s="140"/>
      <c r="I34" s="129"/>
      <c r="J34" s="129"/>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30"/>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30"/>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8" t="s">
        <v>49</v>
      </c>
      <c r="C38" s="138"/>
      <c r="D38" s="138"/>
      <c r="E38" s="138"/>
      <c r="F38" s="138"/>
      <c r="G38" s="138"/>
      <c r="H38" s="138"/>
      <c r="I38" s="138"/>
      <c r="J38" s="138"/>
      <c r="K38" s="65"/>
      <c r="M38" s="49"/>
      <c r="N38" s="49"/>
      <c r="O38" s="49"/>
      <c r="P38" s="49"/>
      <c r="Q38" s="49"/>
      <c r="R38" s="50"/>
      <c r="S38" s="50"/>
      <c r="T38" s="45"/>
      <c r="U38" s="45"/>
      <c r="V38" s="45"/>
      <c r="W38" s="45"/>
      <c r="X38" s="45"/>
      <c r="Y38" s="45"/>
    </row>
    <row r="39" spans="1:25" s="43" customFormat="1" ht="13.8" x14ac:dyDescent="0.3">
      <c r="A39" s="65"/>
      <c r="B39" s="138"/>
      <c r="C39" s="138"/>
      <c r="D39" s="138"/>
      <c r="E39" s="138"/>
      <c r="F39" s="138"/>
      <c r="G39" s="138"/>
      <c r="H39" s="138"/>
      <c r="I39" s="138"/>
      <c r="J39" s="138"/>
      <c r="K39" s="65"/>
      <c r="M39" s="49"/>
      <c r="N39" s="49"/>
      <c r="O39" s="49"/>
      <c r="P39" s="49"/>
      <c r="Q39" s="49"/>
      <c r="R39" s="50"/>
      <c r="S39" s="50"/>
      <c r="T39" s="45"/>
      <c r="U39" s="45"/>
      <c r="V39" s="45"/>
      <c r="W39" s="45"/>
      <c r="X39" s="45"/>
      <c r="Y39" s="45"/>
    </row>
    <row r="40" spans="1:25" s="43" customFormat="1" ht="13.8" x14ac:dyDescent="0.3">
      <c r="A40" s="65"/>
      <c r="B40" s="129"/>
      <c r="C40" s="129"/>
      <c r="D40" s="129"/>
      <c r="E40" s="129"/>
      <c r="F40" s="129"/>
      <c r="G40" s="129"/>
      <c r="H40" s="129"/>
      <c r="I40" s="129"/>
      <c r="J40" s="129"/>
      <c r="K40" s="65"/>
      <c r="M40" s="49"/>
      <c r="N40" s="49"/>
      <c r="O40" s="49"/>
      <c r="P40" s="49"/>
      <c r="Q40" s="49"/>
      <c r="R40" s="50"/>
      <c r="S40" s="50"/>
      <c r="T40" s="45"/>
      <c r="U40" s="45"/>
      <c r="V40" s="45"/>
      <c r="W40" s="45"/>
      <c r="X40" s="45"/>
      <c r="Y40" s="45"/>
    </row>
    <row r="41" spans="1:25" s="43" customFormat="1" ht="13.8" x14ac:dyDescent="0.3">
      <c r="A41" s="65"/>
      <c r="B41" s="138" t="s">
        <v>50</v>
      </c>
      <c r="C41" s="138"/>
      <c r="D41" s="138"/>
      <c r="E41" s="138"/>
      <c r="F41" s="138"/>
      <c r="G41" s="138"/>
      <c r="H41" s="138"/>
      <c r="I41" s="138"/>
      <c r="J41" s="138"/>
      <c r="K41" s="65"/>
      <c r="M41" s="49"/>
      <c r="N41" s="49"/>
      <c r="O41" s="49"/>
      <c r="P41" s="49"/>
      <c r="Q41" s="49"/>
      <c r="R41" s="50"/>
      <c r="S41" s="50"/>
      <c r="T41" s="45"/>
      <c r="U41" s="45"/>
      <c r="V41" s="45"/>
      <c r="W41" s="45"/>
      <c r="X41" s="45"/>
      <c r="Y41" s="45"/>
    </row>
    <row r="42" spans="1:25" s="43" customFormat="1" ht="13.8" x14ac:dyDescent="0.3">
      <c r="A42" s="65"/>
      <c r="B42" s="138"/>
      <c r="C42" s="138"/>
      <c r="D42" s="138"/>
      <c r="E42" s="138"/>
      <c r="F42" s="138"/>
      <c r="G42" s="138"/>
      <c r="H42" s="138"/>
      <c r="I42" s="138"/>
      <c r="J42" s="138"/>
      <c r="K42" s="65"/>
      <c r="M42" s="49"/>
      <c r="N42" s="49"/>
      <c r="O42" s="49"/>
      <c r="P42" s="49"/>
      <c r="Q42" s="49"/>
      <c r="R42" s="50"/>
      <c r="S42" s="50"/>
      <c r="T42" s="45"/>
      <c r="U42" s="45"/>
      <c r="V42" s="45"/>
      <c r="W42" s="45"/>
      <c r="X42" s="45"/>
      <c r="Y42" s="45"/>
    </row>
    <row r="43" spans="1:25" s="43" customFormat="1" ht="13.8" x14ac:dyDescent="0.3">
      <c r="A43" s="65"/>
      <c r="B43" s="138"/>
      <c r="C43" s="138"/>
      <c r="D43" s="138"/>
      <c r="E43" s="138"/>
      <c r="F43" s="138"/>
      <c r="G43" s="138"/>
      <c r="H43" s="138"/>
      <c r="I43" s="138"/>
      <c r="J43" s="138"/>
      <c r="K43" s="65"/>
      <c r="M43" s="49"/>
      <c r="N43" s="49"/>
      <c r="O43" s="49"/>
      <c r="P43" s="49"/>
      <c r="Q43" s="49"/>
      <c r="R43" s="50"/>
      <c r="S43" s="50"/>
      <c r="T43" s="45"/>
      <c r="U43" s="45"/>
      <c r="V43" s="45"/>
      <c r="W43" s="45"/>
      <c r="X43" s="45"/>
      <c r="Y43" s="45"/>
    </row>
    <row r="44" spans="1:25" s="43" customFormat="1" ht="13.8" x14ac:dyDescent="0.3">
      <c r="A44" s="65"/>
      <c r="B44" s="129"/>
      <c r="C44" s="129"/>
      <c r="D44" s="129"/>
      <c r="E44" s="129"/>
      <c r="F44" s="129"/>
      <c r="G44" s="129"/>
      <c r="H44" s="129"/>
      <c r="I44" s="129"/>
      <c r="J44" s="129"/>
      <c r="K44" s="65"/>
      <c r="M44" s="49"/>
      <c r="N44" s="49"/>
      <c r="O44" s="49"/>
      <c r="P44" s="49"/>
      <c r="Q44" s="49"/>
      <c r="R44" s="50"/>
      <c r="S44" s="50"/>
      <c r="T44" s="45"/>
      <c r="U44" s="45"/>
      <c r="V44" s="45"/>
      <c r="W44" s="45"/>
      <c r="X44" s="45"/>
      <c r="Y44" s="45"/>
    </row>
    <row r="45" spans="1:25" s="43" customFormat="1" ht="12.75" customHeight="1" x14ac:dyDescent="0.3">
      <c r="A45" s="65"/>
      <c r="B45" s="138" t="s">
        <v>44</v>
      </c>
      <c r="C45" s="138"/>
      <c r="D45" s="138"/>
      <c r="E45" s="138"/>
      <c r="F45" s="138"/>
      <c r="G45" s="138"/>
      <c r="H45" s="138"/>
      <c r="I45" s="138"/>
      <c r="J45" s="138"/>
      <c r="K45" s="65"/>
      <c r="M45" s="49"/>
      <c r="N45" s="49"/>
      <c r="O45" s="49"/>
      <c r="P45" s="49"/>
      <c r="Q45" s="49"/>
      <c r="R45" s="50"/>
      <c r="S45" s="50"/>
      <c r="T45" s="45"/>
      <c r="U45" s="45"/>
      <c r="V45" s="45"/>
      <c r="W45" s="45"/>
      <c r="X45" s="45"/>
      <c r="Y45" s="45"/>
    </row>
    <row r="46" spans="1:25" s="43" customFormat="1" ht="13.8" x14ac:dyDescent="0.3">
      <c r="A46" s="65"/>
      <c r="B46" s="138"/>
      <c r="C46" s="138"/>
      <c r="D46" s="138"/>
      <c r="E46" s="138"/>
      <c r="F46" s="138"/>
      <c r="G46" s="138"/>
      <c r="H46" s="138"/>
      <c r="I46" s="138"/>
      <c r="J46" s="138"/>
      <c r="K46" s="65"/>
      <c r="M46" s="49"/>
      <c r="N46" s="49"/>
      <c r="O46" s="49"/>
      <c r="P46" s="49"/>
      <c r="Q46" s="49"/>
      <c r="R46" s="50"/>
      <c r="S46" s="50"/>
      <c r="T46" s="45"/>
      <c r="U46" s="45"/>
      <c r="V46" s="45"/>
      <c r="W46" s="45"/>
      <c r="X46" s="45"/>
      <c r="Y46" s="45"/>
    </row>
    <row r="47" spans="1:25" s="43" customFormat="1" ht="13.8" x14ac:dyDescent="0.3">
      <c r="A47" s="65"/>
      <c r="B47" s="138"/>
      <c r="C47" s="138"/>
      <c r="D47" s="138"/>
      <c r="E47" s="138"/>
      <c r="F47" s="138"/>
      <c r="G47" s="138"/>
      <c r="H47" s="138"/>
      <c r="I47" s="138"/>
      <c r="J47" s="138"/>
      <c r="K47" s="65"/>
      <c r="M47" s="49"/>
      <c r="N47" s="49"/>
      <c r="O47" s="49"/>
      <c r="P47" s="49"/>
      <c r="Q47" s="49"/>
      <c r="R47" s="50"/>
      <c r="S47" s="50"/>
      <c r="T47" s="45"/>
      <c r="U47" s="45"/>
      <c r="V47" s="45"/>
      <c r="W47" s="45"/>
      <c r="X47" s="45"/>
      <c r="Y47" s="45"/>
    </row>
    <row r="48" spans="1:25" s="43" customFormat="1" ht="12.75" customHeight="1" x14ac:dyDescent="0.3">
      <c r="A48" s="65"/>
      <c r="B48" s="138"/>
      <c r="C48" s="138"/>
      <c r="D48" s="138"/>
      <c r="E48" s="138"/>
      <c r="F48" s="138"/>
      <c r="G48" s="138"/>
      <c r="H48" s="138"/>
      <c r="I48" s="138"/>
      <c r="J48" s="138"/>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32" t="s">
        <v>111</v>
      </c>
      <c r="G50" s="130"/>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9" t="s">
        <v>53</v>
      </c>
      <c r="C54" s="139"/>
      <c r="D54" s="139"/>
      <c r="E54" s="139"/>
      <c r="F54" s="139"/>
      <c r="G54" s="139"/>
      <c r="H54" s="139"/>
      <c r="I54" s="139"/>
      <c r="J54" s="139"/>
      <c r="K54" s="65"/>
      <c r="M54" s="49"/>
      <c r="N54" s="49"/>
      <c r="O54" s="49"/>
      <c r="P54" s="49"/>
      <c r="Q54" s="49"/>
      <c r="R54" s="50"/>
      <c r="S54" s="50"/>
      <c r="T54" s="45"/>
      <c r="U54" s="45"/>
      <c r="V54" s="45"/>
      <c r="W54" s="45"/>
      <c r="X54" s="45"/>
      <c r="Y54" s="45"/>
    </row>
    <row r="55" spans="1:25" s="43" customFormat="1" ht="13.8" x14ac:dyDescent="0.3">
      <c r="A55" s="65"/>
      <c r="B55" s="139"/>
      <c r="C55" s="139"/>
      <c r="D55" s="139"/>
      <c r="E55" s="139"/>
      <c r="F55" s="139"/>
      <c r="G55" s="139"/>
      <c r="H55" s="139"/>
      <c r="I55" s="139"/>
      <c r="J55" s="139"/>
      <c r="K55" s="65"/>
      <c r="M55" s="49"/>
      <c r="N55" s="49"/>
      <c r="O55" s="49"/>
      <c r="P55" s="49"/>
      <c r="Q55" s="49"/>
      <c r="R55" s="50"/>
      <c r="S55" s="50"/>
      <c r="T55" s="45"/>
      <c r="U55" s="45"/>
      <c r="V55" s="45"/>
      <c r="W55" s="45"/>
      <c r="X55" s="45"/>
      <c r="Y55" s="45"/>
    </row>
    <row r="56" spans="1:25" s="43" customFormat="1" ht="13.8" x14ac:dyDescent="0.3">
      <c r="A56" s="65"/>
      <c r="B56" s="139"/>
      <c r="C56" s="139"/>
      <c r="D56" s="139"/>
      <c r="E56" s="139"/>
      <c r="F56" s="139"/>
      <c r="G56" s="139"/>
      <c r="H56" s="139"/>
      <c r="I56" s="139"/>
      <c r="J56" s="139"/>
      <c r="K56" s="65"/>
      <c r="M56" s="49"/>
      <c r="N56" s="49"/>
      <c r="O56"/>
      <c r="P56" s="49"/>
      <c r="Q56" s="49"/>
      <c r="R56" s="50"/>
      <c r="S56" s="50"/>
      <c r="T56" s="45"/>
      <c r="U56" s="45"/>
      <c r="V56" s="45"/>
      <c r="W56" s="45"/>
      <c r="X56" s="45"/>
      <c r="Y56" s="45"/>
    </row>
    <row r="57" spans="1:25" s="43" customFormat="1" ht="13.8" x14ac:dyDescent="0.3">
      <c r="A57" s="65"/>
      <c r="B57" s="65"/>
      <c r="C57" s="65"/>
      <c r="D57" s="65"/>
      <c r="F57" s="130"/>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33"/>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32" t="s">
        <v>112</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70" zoomScaleNormal="85" zoomScaleSheetLayoutView="70" workbookViewId="0">
      <selection activeCell="V18" sqref="V18"/>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9.88671875" style="2"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18</v>
      </c>
      <c r="G1" s="42">
        <f>X1</f>
        <v>2</v>
      </c>
      <c r="H1" s="39"/>
      <c r="I1" s="39"/>
      <c r="J1" s="39"/>
      <c r="K1" s="39"/>
      <c r="M1" s="88" t="s">
        <v>29</v>
      </c>
      <c r="N1" s="88" t="s">
        <v>30</v>
      </c>
      <c r="O1" s="88" t="s">
        <v>31</v>
      </c>
      <c r="P1" s="88" t="s">
        <v>31</v>
      </c>
      <c r="Q1" s="88" t="s">
        <v>31</v>
      </c>
      <c r="R1" s="88" t="s">
        <v>32</v>
      </c>
      <c r="S1" s="102" t="s">
        <v>33</v>
      </c>
      <c r="T1" s="87" t="s">
        <v>34</v>
      </c>
      <c r="W1" s="53" t="s">
        <v>35</v>
      </c>
      <c r="X1" s="54">
        <f>SUM(M:M)</f>
        <v>2</v>
      </c>
    </row>
    <row r="2" spans="1:103" s="43" customFormat="1" x14ac:dyDescent="0.3">
      <c r="A2" s="39"/>
      <c r="B2" s="40" t="s">
        <v>7</v>
      </c>
      <c r="C2" s="41" t="s">
        <v>8</v>
      </c>
      <c r="D2" s="39"/>
      <c r="E2" s="39"/>
      <c r="F2" s="40" t="s">
        <v>9</v>
      </c>
      <c r="G2" s="41" t="s">
        <v>114</v>
      </c>
      <c r="H2" s="39"/>
      <c r="I2" s="39"/>
      <c r="J2" s="39"/>
      <c r="K2" s="39"/>
      <c r="M2" s="77" t="s">
        <v>36</v>
      </c>
      <c r="N2" s="77" t="s">
        <v>36</v>
      </c>
      <c r="O2" s="77" t="s">
        <v>30</v>
      </c>
      <c r="P2" s="77" t="s">
        <v>30</v>
      </c>
      <c r="Q2" s="77" t="s">
        <v>30</v>
      </c>
      <c r="R2" s="77" t="s">
        <v>36</v>
      </c>
      <c r="S2" s="98" t="s">
        <v>36</v>
      </c>
      <c r="T2" s="76"/>
      <c r="W2" s="53" t="s">
        <v>37</v>
      </c>
      <c r="X2" s="54">
        <f>SUM(N:N)</f>
        <v>0</v>
      </c>
    </row>
    <row r="3" spans="1:103" s="43" customFormat="1" x14ac:dyDescent="0.3">
      <c r="A3" s="39"/>
      <c r="B3" s="40" t="s">
        <v>0</v>
      </c>
      <c r="C3" s="48" t="s">
        <v>19</v>
      </c>
      <c r="D3" s="39"/>
      <c r="E3" s="39"/>
      <c r="F3" s="40" t="s">
        <v>1</v>
      </c>
      <c r="G3" s="41" t="s">
        <v>20</v>
      </c>
      <c r="H3" s="39"/>
      <c r="I3" s="39"/>
      <c r="J3" s="39"/>
      <c r="K3" s="39"/>
      <c r="M3" s="77"/>
      <c r="N3" s="77"/>
      <c r="O3" s="77"/>
      <c r="P3" s="77"/>
      <c r="Q3" s="77"/>
      <c r="R3" s="77"/>
      <c r="S3" s="98"/>
      <c r="T3" s="76"/>
      <c r="W3" s="53" t="s">
        <v>38</v>
      </c>
      <c r="X3" s="54">
        <f>SUM(O:O)</f>
        <v>0</v>
      </c>
    </row>
    <row r="4" spans="1:103" s="43" customFormat="1" x14ac:dyDescent="0.3">
      <c r="A4" s="39"/>
      <c r="B4" s="40" t="s">
        <v>21</v>
      </c>
      <c r="C4" s="42"/>
      <c r="D4" s="39"/>
      <c r="E4" s="39"/>
      <c r="F4" s="40" t="s">
        <v>22</v>
      </c>
      <c r="G4" s="41" t="s">
        <v>115</v>
      </c>
      <c r="H4" s="39"/>
      <c r="I4" s="39"/>
      <c r="J4" s="39"/>
      <c r="K4" s="39"/>
      <c r="M4" s="77"/>
      <c r="N4" s="77"/>
      <c r="O4" s="77"/>
      <c r="P4" s="77"/>
      <c r="Q4" s="101"/>
      <c r="R4" s="100"/>
      <c r="S4" s="99"/>
      <c r="T4" s="76"/>
      <c r="W4" s="53" t="s">
        <v>38</v>
      </c>
      <c r="X4" s="54">
        <f>SUM(P:P)</f>
        <v>0</v>
      </c>
      <c r="AE4" s="2"/>
      <c r="AF4" s="8"/>
      <c r="AG4" s="70"/>
      <c r="AH4" s="72"/>
      <c r="AI4" s="72"/>
      <c r="AJ4" s="72"/>
      <c r="AK4" s="72"/>
    </row>
    <row r="5" spans="1:103" s="43" customFormat="1" x14ac:dyDescent="0.3">
      <c r="A5" s="39"/>
      <c r="B5" s="40" t="s">
        <v>24</v>
      </c>
      <c r="C5" s="42" t="s">
        <v>39</v>
      </c>
      <c r="D5" s="39"/>
      <c r="E5" s="40"/>
      <c r="F5" s="39"/>
      <c r="G5" s="39"/>
      <c r="H5" s="39"/>
      <c r="I5" s="39"/>
      <c r="J5" s="39"/>
      <c r="K5" s="39"/>
      <c r="M5" s="77"/>
      <c r="N5" s="77"/>
      <c r="O5" s="77"/>
      <c r="P5" s="77"/>
      <c r="Q5" s="101"/>
      <c r="R5" s="100"/>
      <c r="S5" s="99"/>
      <c r="T5" s="76"/>
      <c r="W5" s="53" t="s">
        <v>38</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1"/>
      <c r="R6" s="100"/>
      <c r="S6" s="99"/>
      <c r="T6" s="76"/>
      <c r="W6" s="53" t="s">
        <v>40</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1"/>
      <c r="R7" s="100"/>
      <c r="S7" s="99"/>
      <c r="T7" s="76"/>
      <c r="W7" s="53" t="s">
        <v>41</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AA-SM-007-033</v>
      </c>
      <c r="K8" s="57"/>
      <c r="L8" s="58"/>
      <c r="M8" s="77"/>
      <c r="N8" s="77"/>
      <c r="O8" s="77"/>
      <c r="P8" s="98"/>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IR</v>
      </c>
      <c r="K9" s="57"/>
      <c r="L9" s="58"/>
      <c r="M9" s="77">
        <v>1</v>
      </c>
      <c r="N9" s="77"/>
      <c r="O9" s="77"/>
      <c r="P9" s="98"/>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98"/>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7"/>
      <c r="N11" s="77"/>
      <c r="O11" s="77"/>
      <c r="P11" s="98"/>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COMPRESSION BUCKLING OF FLAT ISOTROPIC FLANGE</v>
      </c>
      <c r="E12" s="11"/>
      <c r="F12" s="11"/>
      <c r="G12" s="11"/>
      <c r="H12" s="11"/>
      <c r="I12" s="11"/>
      <c r="J12" s="11"/>
      <c r="K12" s="11"/>
      <c r="V12" s="8"/>
      <c r="W12" s="9"/>
      <c r="Z12" s="27">
        <v>1</v>
      </c>
      <c r="AA12" s="10"/>
      <c r="AB12" s="10"/>
      <c r="AD12" s="8"/>
      <c r="AE12" s="70"/>
      <c r="AF12" s="72"/>
      <c r="AG12" s="72"/>
      <c r="AH12" s="72"/>
      <c r="AI12" s="72"/>
      <c r="AP12" s="2"/>
    </row>
    <row r="13" spans="1:103" ht="13.5" customHeight="1" x14ac:dyDescent="0.3">
      <c r="A13" s="13"/>
      <c r="B13" s="131" t="s">
        <v>113</v>
      </c>
      <c r="C13" s="11"/>
      <c r="D13" s="11"/>
      <c r="E13" s="11"/>
      <c r="F13" s="11"/>
      <c r="G13" s="11"/>
      <c r="H13" s="11"/>
      <c r="I13" s="11"/>
      <c r="J13" s="11"/>
      <c r="K13" s="11"/>
      <c r="X13" s="73">
        <f>1/Y13</f>
        <v>2.5</v>
      </c>
      <c r="Y13" s="9">
        <v>0.4</v>
      </c>
      <c r="Z13" s="135">
        <f>(6/PI()^2)*((1-$G$22)+((PI()*$X13/$Z$12)^(2))/6)</f>
        <v>6.6694697002792784</v>
      </c>
      <c r="AA13" s="9"/>
      <c r="AB13" s="96">
        <f>AB14</f>
        <v>2.6666666666666665</v>
      </c>
      <c r="AC13" s="70">
        <v>0</v>
      </c>
      <c r="AD13" s="8"/>
      <c r="AE13" s="70"/>
      <c r="AF13" s="72"/>
      <c r="AG13" s="72"/>
      <c r="AH13" s="72"/>
      <c r="AI13" s="72"/>
      <c r="AP13" s="2"/>
      <c r="AQ13" s="15"/>
      <c r="BE13" s="15"/>
      <c r="BQ13" s="15"/>
      <c r="CC13" s="15"/>
      <c r="CO13" s="15"/>
    </row>
    <row r="14" spans="1:103" x14ac:dyDescent="0.3">
      <c r="C14" s="97"/>
      <c r="D14" s="97"/>
      <c r="E14" s="97"/>
      <c r="F14" s="97"/>
      <c r="G14" s="97"/>
      <c r="H14" s="97"/>
      <c r="I14" s="97"/>
      <c r="J14" s="97"/>
      <c r="K14" s="11"/>
      <c r="W14" s="70"/>
      <c r="X14" s="73">
        <f t="shared" ref="X14:X58" si="0">1/Y14</f>
        <v>2</v>
      </c>
      <c r="Y14" s="9">
        <v>0.5</v>
      </c>
      <c r="Z14" s="135">
        <f t="shared" ref="Z14:Z58" si="1">(6/PI()^2)*((1-$G$22)+((PI()*$X14/$Z$12)^(2))/6)</f>
        <v>4.4194697002792784</v>
      </c>
      <c r="AA14" s="9"/>
      <c r="AB14" s="96">
        <f>G26</f>
        <v>2.6666666666666665</v>
      </c>
      <c r="AC14" s="134">
        <f>I29</f>
        <v>0.56009470027927832</v>
      </c>
      <c r="AF14" s="72"/>
      <c r="AG14" s="72"/>
      <c r="AH14" s="72"/>
      <c r="AI14" s="72"/>
      <c r="AP14" s="2"/>
      <c r="AQ14" s="9"/>
      <c r="BE14" s="9"/>
      <c r="BQ14" s="9"/>
      <c r="CC14" s="9"/>
      <c r="CO14" s="9"/>
    </row>
    <row r="15" spans="1:103" x14ac:dyDescent="0.3">
      <c r="A15" s="11"/>
      <c r="B15" s="11"/>
      <c r="C15" s="11"/>
      <c r="D15" s="16"/>
      <c r="E15" s="16"/>
      <c r="V15" s="72"/>
      <c r="W15" s="17"/>
      <c r="X15" s="73">
        <f t="shared" si="0"/>
        <v>1.6666666666666667</v>
      </c>
      <c r="Y15" s="9">
        <v>0.6</v>
      </c>
      <c r="Z15" s="135">
        <f t="shared" si="1"/>
        <v>3.1972474780570561</v>
      </c>
      <c r="AA15" s="9"/>
      <c r="AB15" s="10">
        <v>0</v>
      </c>
      <c r="AC15" s="70">
        <f>AC14</f>
        <v>0.56009470027927832</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1"/>
      <c r="C16" s="11"/>
      <c r="D16" s="11"/>
      <c r="E16" s="11"/>
      <c r="F16" s="14" t="s">
        <v>15</v>
      </c>
      <c r="G16" s="20">
        <v>4</v>
      </c>
      <c r="H16" s="11" t="s">
        <v>55</v>
      </c>
      <c r="I16" s="95"/>
      <c r="J16" s="95"/>
      <c r="K16" s="95"/>
      <c r="V16" s="72"/>
      <c r="W16" s="17"/>
      <c r="X16" s="73">
        <f t="shared" si="0"/>
        <v>1.4285714285714286</v>
      </c>
      <c r="Y16" s="9">
        <v>0.7</v>
      </c>
      <c r="Z16" s="135">
        <f t="shared" si="1"/>
        <v>2.4602860268098903</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1.5</v>
      </c>
      <c r="H17" s="11" t="s">
        <v>59</v>
      </c>
      <c r="I17" s="95"/>
      <c r="J17" s="95"/>
      <c r="K17" s="95"/>
      <c r="V17" s="72"/>
      <c r="W17" s="17"/>
      <c r="X17" s="73">
        <f t="shared" si="0"/>
        <v>1.25</v>
      </c>
      <c r="Y17" s="9">
        <v>0.8</v>
      </c>
      <c r="Z17" s="135">
        <f t="shared" si="1"/>
        <v>1.9819697002792784</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17</v>
      </c>
      <c r="G18" s="20">
        <v>0.1</v>
      </c>
      <c r="H18" s="11" t="s">
        <v>55</v>
      </c>
      <c r="I18" s="11" t="s">
        <v>117</v>
      </c>
      <c r="V18" s="72"/>
      <c r="W18" s="17"/>
      <c r="X18" s="73">
        <f t="shared" si="0"/>
        <v>1.1111111111111112</v>
      </c>
      <c r="Y18" s="9">
        <v>0.9</v>
      </c>
      <c r="Z18" s="135">
        <f t="shared" si="1"/>
        <v>1.6540376015138463</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16</v>
      </c>
      <c r="G19" s="105">
        <v>3500</v>
      </c>
      <c r="H19" s="11" t="s">
        <v>56</v>
      </c>
      <c r="I19" s="11" t="s">
        <v>118</v>
      </c>
      <c r="K19" s="11"/>
      <c r="V19" s="72"/>
      <c r="W19" s="17"/>
      <c r="X19" s="73">
        <f t="shared" si="0"/>
        <v>1</v>
      </c>
      <c r="Y19" s="9">
        <v>1</v>
      </c>
      <c r="Z19" s="135">
        <f t="shared" si="1"/>
        <v>1.4194697002792782</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ht="15" x14ac:dyDescent="0.35">
      <c r="A20" s="11"/>
      <c r="B20" s="11"/>
      <c r="C20" s="11"/>
      <c r="D20" s="11"/>
      <c r="E20" s="116" t="s">
        <v>90</v>
      </c>
      <c r="F20" s="32" t="s">
        <v>89</v>
      </c>
      <c r="G20" s="125">
        <v>10500000</v>
      </c>
      <c r="H20" s="32" t="str">
        <f>IF(G20="","","psi")</f>
        <v>psi</v>
      </c>
      <c r="K20" s="11"/>
      <c r="V20" s="72"/>
      <c r="W20" s="17"/>
      <c r="X20" s="73">
        <f t="shared" si="0"/>
        <v>0.90909090909090906</v>
      </c>
      <c r="Y20" s="9">
        <v>1.1000000000000001</v>
      </c>
      <c r="Z20" s="135">
        <f t="shared" si="1"/>
        <v>1.2459159812710137</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116"/>
      <c r="F21" s="32" t="s">
        <v>87</v>
      </c>
      <c r="G21" s="125">
        <v>10500000</v>
      </c>
      <c r="H21" s="32" t="str">
        <f>IF(G21="","","psi")</f>
        <v>psi</v>
      </c>
      <c r="K21" s="86"/>
      <c r="V21" s="72"/>
      <c r="W21" s="17"/>
      <c r="X21" s="73">
        <f t="shared" si="0"/>
        <v>0.83333333333333337</v>
      </c>
      <c r="Y21" s="9">
        <v>1.2</v>
      </c>
      <c r="Z21" s="135">
        <f t="shared" si="1"/>
        <v>1.1139141447237229</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3"/>
      <c r="F22" s="1" t="s">
        <v>14</v>
      </c>
      <c r="G22" s="22">
        <v>0.31</v>
      </c>
      <c r="H22" s="11"/>
      <c r="K22" s="82"/>
      <c r="V22" s="72"/>
      <c r="W22" s="17"/>
      <c r="X22" s="73">
        <f t="shared" si="0"/>
        <v>0.76923076923076916</v>
      </c>
      <c r="Y22" s="9">
        <v>1.3</v>
      </c>
      <c r="Z22" s="135">
        <f t="shared" si="1"/>
        <v>1.0111856766106393</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3"/>
      <c r="F23" s="83" t="s">
        <v>60</v>
      </c>
      <c r="G23" s="90">
        <v>12000</v>
      </c>
      <c r="H23" s="82"/>
      <c r="I23" s="82"/>
      <c r="J23" s="86"/>
      <c r="K23" s="65"/>
      <c r="V23" s="72"/>
      <c r="W23" s="17"/>
      <c r="X23" s="73">
        <f t="shared" si="0"/>
        <v>0.7142857142857143</v>
      </c>
      <c r="Y23" s="9">
        <v>1.4</v>
      </c>
      <c r="Z23" s="135">
        <f t="shared" si="1"/>
        <v>0.92967378191193129</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B24" s="14"/>
      <c r="C24" s="22"/>
      <c r="D24" s="11"/>
      <c r="F24" s="83" t="s">
        <v>61</v>
      </c>
      <c r="G24" s="71" t="str">
        <f>[1]!xln(G25)</f>
        <v>(1.05E+07) × 0.1³ / 12 × (1 - 0.31²)</v>
      </c>
      <c r="I24" s="83"/>
      <c r="J24" s="85"/>
      <c r="K24" s="82"/>
      <c r="V24" s="72"/>
      <c r="W24" s="17"/>
      <c r="X24" s="73">
        <f t="shared" si="0"/>
        <v>0.66666666666666663</v>
      </c>
      <c r="Y24" s="9">
        <v>1.5</v>
      </c>
      <c r="Z24" s="135">
        <f t="shared" si="1"/>
        <v>0.86391414472372274</v>
      </c>
      <c r="AC24" s="2">
        <v>0</v>
      </c>
      <c r="AD24" s="70">
        <v>0.5</v>
      </c>
      <c r="AE24" s="2">
        <f>AD24/0.5</f>
        <v>1</v>
      </c>
      <c r="AF24" s="2">
        <f t="shared" ref="AF24:AF42" si="2">AC24</f>
        <v>0</v>
      </c>
      <c r="AG24" s="4"/>
      <c r="AH24" s="2">
        <f>MATCH(I43,AC24:AC41)</f>
        <v>7</v>
      </c>
      <c r="AI24" s="2">
        <f>INDEX(AC24:AC41,AH24)</f>
        <v>6</v>
      </c>
      <c r="AJ24" s="19">
        <f>INDEX(AE24:AE42,AH24)</f>
        <v>1.35</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83"/>
      <c r="G25" s="137">
        <f>G20*G18^3/12*(1-G22^2)</f>
        <v>790.91250000000014</v>
      </c>
      <c r="H25" s="82" t="s">
        <v>62</v>
      </c>
      <c r="I25" s="83"/>
      <c r="J25" s="85"/>
      <c r="K25" s="82"/>
      <c r="V25"/>
      <c r="W25" s="17"/>
      <c r="X25" s="73">
        <f t="shared" si="0"/>
        <v>0.625</v>
      </c>
      <c r="Y25" s="9">
        <v>1.6</v>
      </c>
      <c r="Z25" s="135">
        <f t="shared" si="1"/>
        <v>0.81009470027927832</v>
      </c>
      <c r="AC25" s="2">
        <v>0.5</v>
      </c>
      <c r="AD25" s="70">
        <v>0.5</v>
      </c>
      <c r="AE25" s="2">
        <f t="shared" ref="AE25:AE42" si="3">AD25/0.5</f>
        <v>1</v>
      </c>
      <c r="AF25" s="2">
        <f t="shared" si="2"/>
        <v>0.5</v>
      </c>
      <c r="AG25" s="18"/>
      <c r="AH25" s="2">
        <f>AH24+1</f>
        <v>8</v>
      </c>
      <c r="AI25" s="2">
        <f>INDEX(AC24:AC42,AH25)</f>
        <v>8</v>
      </c>
      <c r="AJ25" s="19">
        <f>INDEX(AE24:AE42,AH25)</f>
        <v>1.42</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3"/>
      <c r="C26" s="90"/>
      <c r="D26" s="86"/>
      <c r="E26" s="14"/>
      <c r="F26" s="14" t="s">
        <v>57</v>
      </c>
      <c r="G26" s="23">
        <f>G16/G17</f>
        <v>2.6666666666666665</v>
      </c>
      <c r="H26" s="11" t="s">
        <v>3</v>
      </c>
      <c r="J26" s="93"/>
      <c r="K26" s="82"/>
      <c r="V26" s="72"/>
      <c r="W26" s="17"/>
      <c r="X26" s="73">
        <f t="shared" si="0"/>
        <v>0.58823529411764708</v>
      </c>
      <c r="Y26" s="9">
        <v>1.7</v>
      </c>
      <c r="Z26" s="135">
        <f t="shared" si="1"/>
        <v>0.76549046152495304</v>
      </c>
      <c r="AC26" s="2">
        <v>1</v>
      </c>
      <c r="AD26" s="70">
        <v>0.53</v>
      </c>
      <c r="AE26" s="2">
        <f t="shared" si="3"/>
        <v>1.06</v>
      </c>
      <c r="AF26" s="2">
        <f t="shared" si="2"/>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3"/>
      <c r="C27" s="90"/>
      <c r="D27" s="82"/>
      <c r="E27" s="14"/>
      <c r="G27" s="11"/>
      <c r="H27" s="11"/>
      <c r="J27" s="84"/>
      <c r="K27" s="82"/>
      <c r="V27" s="72"/>
      <c r="W27" s="17"/>
      <c r="X27" s="73">
        <f t="shared" si="0"/>
        <v>0.55555555555555558</v>
      </c>
      <c r="Y27" s="9">
        <v>1.8</v>
      </c>
      <c r="Z27" s="135">
        <f t="shared" si="1"/>
        <v>0.72811167558792034</v>
      </c>
      <c r="AC27" s="2">
        <v>2</v>
      </c>
      <c r="AD27" s="70">
        <v>0.56999999999999995</v>
      </c>
      <c r="AE27" s="2">
        <f t="shared" si="3"/>
        <v>1.1399999999999999</v>
      </c>
      <c r="AF27" s="2">
        <f t="shared" si="2"/>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x14ac:dyDescent="0.3">
      <c r="E28" s="34"/>
      <c r="V28" s="72"/>
      <c r="W28" s="17"/>
      <c r="X28" s="73">
        <f t="shared" si="0"/>
        <v>0.52631578947368418</v>
      </c>
      <c r="Y28" s="9">
        <v>1.9</v>
      </c>
      <c r="Z28" s="135">
        <f t="shared" si="1"/>
        <v>0.69647801052858582</v>
      </c>
      <c r="AC28" s="2">
        <v>3</v>
      </c>
      <c r="AD28" s="70">
        <v>0.6</v>
      </c>
      <c r="AE28" s="2">
        <f t="shared" si="3"/>
        <v>1.2</v>
      </c>
      <c r="AF28" s="2">
        <f t="shared" si="2"/>
        <v>3</v>
      </c>
      <c r="AI28" s="70">
        <f>I43</f>
        <v>6.0689393580200077</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ht="15" x14ac:dyDescent="0.35">
      <c r="B29" s="86"/>
      <c r="C29" s="82"/>
      <c r="D29" s="90"/>
      <c r="E29" s="82"/>
      <c r="F29" s="65"/>
      <c r="G29" s="83"/>
      <c r="H29" s="14" t="s">
        <v>65</v>
      </c>
      <c r="I29" s="136">
        <f>(6/PI()^2)*((1-$G$22)+((PI()*(1/$G26)/$Z$12)^(2))/6)</f>
        <v>0.56009470027927832</v>
      </c>
      <c r="V29" s="72"/>
      <c r="W29" s="17"/>
      <c r="X29" s="73">
        <f t="shared" si="0"/>
        <v>0.5</v>
      </c>
      <c r="Y29" s="9">
        <v>2</v>
      </c>
      <c r="Z29" s="135">
        <f t="shared" si="1"/>
        <v>0.66946970027927843</v>
      </c>
      <c r="AC29" s="2">
        <v>4</v>
      </c>
      <c r="AD29" s="70">
        <v>0.63</v>
      </c>
      <c r="AE29" s="2">
        <f t="shared" si="3"/>
        <v>1.26</v>
      </c>
      <c r="AF29" s="2">
        <f t="shared" si="2"/>
        <v>4</v>
      </c>
      <c r="AI29" s="70">
        <f>AI28</f>
        <v>6.0689393580200077</v>
      </c>
      <c r="AJ29" s="2">
        <f>IF(I43&gt;1000,20.56,AJ25-(AJ25-AJ24)/(AI25-AI24)*(AI25-I43))</f>
        <v>1.3524128775307003</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3"/>
      <c r="C30" s="89"/>
      <c r="D30" s="43"/>
      <c r="E30" s="43"/>
      <c r="F30" s="65"/>
      <c r="G30" s="43"/>
      <c r="V30" s="72"/>
      <c r="W30" s="17"/>
      <c r="X30" s="73">
        <f t="shared" si="0"/>
        <v>0.47619047619047616</v>
      </c>
      <c r="Y30" s="9">
        <v>2.1</v>
      </c>
      <c r="Z30" s="135">
        <f t="shared" si="1"/>
        <v>0.64622706989379075</v>
      </c>
      <c r="AC30" s="2">
        <v>6</v>
      </c>
      <c r="AD30" s="70">
        <v>0.67500000000000004</v>
      </c>
      <c r="AE30" s="2">
        <f t="shared" si="3"/>
        <v>1.35</v>
      </c>
      <c r="AF30" s="2">
        <f t="shared" si="2"/>
        <v>6</v>
      </c>
      <c r="AI30" s="2">
        <v>0.1</v>
      </c>
      <c r="AJ30" s="2">
        <f>AJ29</f>
        <v>1.3524128775307003</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3"/>
      <c r="C31" s="86"/>
      <c r="D31" s="90"/>
      <c r="E31" s="82"/>
      <c r="F31" s="65"/>
      <c r="G31" s="65"/>
      <c r="V31" s="72"/>
      <c r="W31" s="17"/>
      <c r="X31" s="73">
        <f t="shared" si="0"/>
        <v>0.45454545454545453</v>
      </c>
      <c r="Y31" s="9">
        <v>2.2000000000000002</v>
      </c>
      <c r="Z31" s="135">
        <f t="shared" si="1"/>
        <v>0.62608127052721219</v>
      </c>
      <c r="AA31" s="24"/>
      <c r="AC31" s="2">
        <v>8</v>
      </c>
      <c r="AD31" s="70">
        <v>0.71</v>
      </c>
      <c r="AE31" s="2">
        <f t="shared" si="3"/>
        <v>1.42</v>
      </c>
      <c r="AF31" s="2">
        <f t="shared" si="2"/>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3"/>
      <c r="C32" s="91"/>
      <c r="D32" s="82"/>
      <c r="E32" s="82"/>
      <c r="F32" s="65"/>
      <c r="G32" s="43"/>
      <c r="H32" s="43"/>
      <c r="V32" s="72"/>
      <c r="W32" s="17"/>
      <c r="X32" s="73">
        <f t="shared" si="0"/>
        <v>0.43478260869565222</v>
      </c>
      <c r="Y32" s="9">
        <v>2.2999999999999998</v>
      </c>
      <c r="Z32" s="135">
        <f t="shared" si="1"/>
        <v>0.60850561710347495</v>
      </c>
      <c r="AA32" s="24"/>
      <c r="AC32" s="2">
        <v>10</v>
      </c>
      <c r="AD32" s="70">
        <v>0.75</v>
      </c>
      <c r="AE32" s="2">
        <f t="shared" si="3"/>
        <v>1.5</v>
      </c>
      <c r="AF32" s="2">
        <f t="shared" si="2"/>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73">
        <f t="shared" si="0"/>
        <v>0.41666666666666669</v>
      </c>
      <c r="Y33" s="9">
        <v>2.4</v>
      </c>
      <c r="Z33" s="135">
        <f t="shared" si="1"/>
        <v>0.59308081139038948</v>
      </c>
      <c r="AC33" s="2">
        <v>12</v>
      </c>
      <c r="AD33" s="70">
        <v>0.78</v>
      </c>
      <c r="AE33" s="2">
        <f t="shared" si="3"/>
        <v>1.56</v>
      </c>
      <c r="AF33" s="2">
        <f t="shared" si="2"/>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X34" s="73">
        <f t="shared" si="0"/>
        <v>0.4</v>
      </c>
      <c r="Y34" s="9">
        <v>2.5</v>
      </c>
      <c r="Z34" s="135">
        <f t="shared" si="1"/>
        <v>0.57946970027927835</v>
      </c>
      <c r="AA34" s="21"/>
      <c r="AC34" s="2">
        <v>16</v>
      </c>
      <c r="AD34" s="70">
        <v>0.82</v>
      </c>
      <c r="AE34" s="2">
        <f t="shared" si="3"/>
        <v>1.64</v>
      </c>
      <c r="AF34" s="2">
        <f t="shared" si="2"/>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X35" s="73">
        <f t="shared" si="0"/>
        <v>0.38461538461538458</v>
      </c>
      <c r="Y35" s="9">
        <v>2.6</v>
      </c>
      <c r="Z35" s="135">
        <f t="shared" si="1"/>
        <v>0.56739869436211854</v>
      </c>
      <c r="AA35" s="21"/>
      <c r="AC35" s="2">
        <v>20</v>
      </c>
      <c r="AD35" s="70">
        <v>0.86</v>
      </c>
      <c r="AE35" s="2">
        <f t="shared" si="3"/>
        <v>1.72</v>
      </c>
      <c r="AF35" s="2">
        <f t="shared" si="2"/>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X36" s="73">
        <f t="shared" si="0"/>
        <v>0.37037037037037035</v>
      </c>
      <c r="Y36" s="9">
        <v>2.7</v>
      </c>
      <c r="Z36" s="135">
        <f t="shared" si="1"/>
        <v>0.55664391152756365</v>
      </c>
      <c r="AA36" s="21"/>
      <c r="AB36" s="9"/>
      <c r="AC36" s="2">
        <v>30</v>
      </c>
      <c r="AD36" s="70">
        <v>0.93</v>
      </c>
      <c r="AE36" s="2">
        <f t="shared" si="3"/>
        <v>1.86</v>
      </c>
      <c r="AF36" s="2">
        <f t="shared" si="2"/>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X37" s="73">
        <f t="shared" si="0"/>
        <v>0.35714285714285715</v>
      </c>
      <c r="Y37" s="9">
        <v>2.8</v>
      </c>
      <c r="Z37" s="135">
        <f t="shared" si="1"/>
        <v>0.54702072068744156</v>
      </c>
      <c r="AA37" s="21"/>
      <c r="AB37" s="7"/>
      <c r="AC37" s="2">
        <v>40</v>
      </c>
      <c r="AD37" s="70">
        <v>0.98</v>
      </c>
      <c r="AE37" s="2">
        <f t="shared" si="3"/>
        <v>1.96</v>
      </c>
      <c r="AF37" s="2">
        <f t="shared" si="2"/>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X38" s="73">
        <f t="shared" si="0"/>
        <v>0.34482758620689657</v>
      </c>
      <c r="Y38" s="9">
        <v>2.9</v>
      </c>
      <c r="Z38" s="135">
        <f t="shared" si="1"/>
        <v>0.53837576448855307</v>
      </c>
      <c r="AA38" s="21"/>
      <c r="AB38" s="7"/>
      <c r="AC38" s="2">
        <v>70</v>
      </c>
      <c r="AD38" s="70">
        <v>1.07</v>
      </c>
      <c r="AE38" s="2">
        <f t="shared" si="3"/>
        <v>2.14</v>
      </c>
      <c r="AF38" s="2">
        <f t="shared" si="2"/>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73">
        <f t="shared" si="0"/>
        <v>0.33333333333333331</v>
      </c>
      <c r="Y39" s="9">
        <v>3</v>
      </c>
      <c r="Z39" s="135">
        <f t="shared" si="1"/>
        <v>0.53058081139038948</v>
      </c>
      <c r="AA39" s="21"/>
      <c r="AB39" s="29"/>
      <c r="AC39" s="2">
        <v>100</v>
      </c>
      <c r="AD39" s="70">
        <v>1.1200000000000001</v>
      </c>
      <c r="AE39" s="2">
        <f t="shared" si="3"/>
        <v>2.2400000000000002</v>
      </c>
      <c r="AF39" s="2">
        <f t="shared" si="2"/>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X40" s="73">
        <f t="shared" si="0"/>
        <v>0.32258064516129031</v>
      </c>
      <c r="Y40" s="9">
        <v>3.1</v>
      </c>
      <c r="Z40" s="135">
        <f t="shared" si="1"/>
        <v>0.52352797291195263</v>
      </c>
      <c r="AA40" s="21"/>
      <c r="AB40" s="9"/>
      <c r="AC40" s="2">
        <v>200</v>
      </c>
      <c r="AD40" s="70">
        <v>1.2</v>
      </c>
      <c r="AE40" s="2">
        <f t="shared" si="3"/>
        <v>2.4</v>
      </c>
      <c r="AF40" s="2">
        <f t="shared" si="2"/>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X41" s="73">
        <f t="shared" si="0"/>
        <v>0.3125</v>
      </c>
      <c r="Y41" s="9">
        <v>3.2</v>
      </c>
      <c r="Z41" s="135">
        <f t="shared" si="1"/>
        <v>0.51712595027927832</v>
      </c>
      <c r="AA41" s="21"/>
      <c r="AB41" s="9"/>
      <c r="AC41" s="2">
        <v>500</v>
      </c>
      <c r="AD41" s="70">
        <v>1.25</v>
      </c>
      <c r="AE41" s="2">
        <f t="shared" si="3"/>
        <v>2.5</v>
      </c>
      <c r="AF41" s="2">
        <f t="shared" si="2"/>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H42" s="53" t="s">
        <v>63</v>
      </c>
      <c r="I42" s="71" t="str">
        <f>[1]!xln(I43)</f>
        <v>4 × 12000 × 0.1 / 791</v>
      </c>
      <c r="K42" s="11"/>
      <c r="V42" s="72"/>
      <c r="W42" s="17"/>
      <c r="X42" s="73">
        <f t="shared" si="0"/>
        <v>0.30303030303030304</v>
      </c>
      <c r="Y42" s="9">
        <v>3.3</v>
      </c>
      <c r="Z42" s="135">
        <f t="shared" si="1"/>
        <v>0.51129706483391568</v>
      </c>
      <c r="AA42" s="21"/>
      <c r="AB42" s="7"/>
      <c r="AC42" s="17">
        <v>1000</v>
      </c>
      <c r="AD42" s="70">
        <v>1.28</v>
      </c>
      <c r="AE42" s="2">
        <f t="shared" si="3"/>
        <v>2.56</v>
      </c>
      <c r="AF42" s="27">
        <f t="shared" si="2"/>
        <v>1000</v>
      </c>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I43" s="103">
        <f>4*G23*G18/G25</f>
        <v>6.0689393580200077</v>
      </c>
      <c r="J43" s="11"/>
      <c r="K43" s="11"/>
      <c r="V43" s="72"/>
      <c r="W43" s="17"/>
      <c r="X43" s="73">
        <f t="shared" si="0"/>
        <v>0.29411764705882354</v>
      </c>
      <c r="Y43" s="9">
        <v>3.4</v>
      </c>
      <c r="Z43" s="135">
        <f t="shared" si="1"/>
        <v>0.505974890590697</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3">
        <f t="shared" si="0"/>
        <v>0.2857142857142857</v>
      </c>
      <c r="Y44" s="9">
        <v>3.5</v>
      </c>
      <c r="Z44" s="135">
        <f t="shared" si="1"/>
        <v>0.50110235334050279</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64</v>
      </c>
      <c r="I45" s="104">
        <f>AJ30</f>
        <v>1.3524128775307003</v>
      </c>
      <c r="V45" s="72"/>
      <c r="W45" s="17"/>
      <c r="X45" s="73">
        <f t="shared" si="0"/>
        <v>0.27777777777777779</v>
      </c>
      <c r="Y45" s="9">
        <v>3.6</v>
      </c>
      <c r="Z45" s="135">
        <f t="shared" si="1"/>
        <v>0.49663019410643883</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X46" s="73">
        <f t="shared" si="0"/>
        <v>0.27027027027027023</v>
      </c>
      <c r="Y46" s="9">
        <v>3.7</v>
      </c>
      <c r="Z46" s="135">
        <f t="shared" si="1"/>
        <v>0.49251571927124327</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66</v>
      </c>
      <c r="I47" s="71" t="str">
        <f>[1]!xln(I48)</f>
        <v>1.35 × 0.56</v>
      </c>
      <c r="V47" s="72"/>
      <c r="W47" s="17"/>
      <c r="X47" s="73">
        <f t="shared" si="0"/>
        <v>0.26315789473684209</v>
      </c>
      <c r="Y47" s="9">
        <v>3.8</v>
      </c>
      <c r="Z47" s="135">
        <f t="shared" si="1"/>
        <v>0.4887217778416052</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66</v>
      </c>
      <c r="I48" s="104">
        <f>I45*I29</f>
        <v>0.7574792852943939</v>
      </c>
      <c r="V48" s="72"/>
      <c r="W48" s="17"/>
      <c r="X48" s="73">
        <f t="shared" si="0"/>
        <v>0.25641025641025644</v>
      </c>
      <c r="Y48" s="9">
        <v>3.9</v>
      </c>
      <c r="Z48" s="135">
        <f t="shared" si="1"/>
        <v>0.4852159198716518</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X49" s="73">
        <f t="shared" si="0"/>
        <v>0.25</v>
      </c>
      <c r="Y49" s="9">
        <v>4</v>
      </c>
      <c r="Z49" s="135">
        <f t="shared" si="1"/>
        <v>0.48196970027927832</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X50" s="73">
        <f t="shared" si="0"/>
        <v>0.23809523809523808</v>
      </c>
      <c r="Y50" s="9">
        <v>4.2</v>
      </c>
      <c r="Z50" s="135">
        <f t="shared" si="1"/>
        <v>0.47615904268290649</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X51" s="73">
        <f t="shared" si="0"/>
        <v>0.22727272727272727</v>
      </c>
      <c r="Y51" s="9">
        <v>4.4000000000000004</v>
      </c>
      <c r="Z51" s="135">
        <f t="shared" si="1"/>
        <v>0.47112259284126179</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X52" s="73">
        <f t="shared" si="0"/>
        <v>0.21739130434782611</v>
      </c>
      <c r="Y52" s="9">
        <v>4.5999999999999996</v>
      </c>
      <c r="Z52" s="135">
        <f t="shared" si="1"/>
        <v>0.46672867948532754</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X53" s="73">
        <f t="shared" si="0"/>
        <v>0.20833333333333334</v>
      </c>
      <c r="Y53" s="9">
        <v>4.8</v>
      </c>
      <c r="Z53" s="135">
        <f t="shared" si="1"/>
        <v>0.46287247805705617</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X54" s="73">
        <f t="shared" si="0"/>
        <v>0.2</v>
      </c>
      <c r="Y54" s="9">
        <v>5</v>
      </c>
      <c r="Z54" s="135">
        <f t="shared" si="1"/>
        <v>0.4594697002792783</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58</v>
      </c>
      <c r="C55" s="71" t="str">
        <f ca="1">[1]!xlv(C57)</f>
        <v>k × (π²) × Primary × ((t / b)²) / (12 × (1 - νₑ²))</v>
      </c>
      <c r="J55" s="71"/>
      <c r="K55" s="71"/>
      <c r="V55" s="72"/>
      <c r="W55" s="4"/>
      <c r="X55" s="73">
        <f t="shared" si="0"/>
        <v>0.19230769230769229</v>
      </c>
      <c r="Y55" s="9">
        <v>5.2</v>
      </c>
      <c r="Z55" s="135">
        <f t="shared" si="1"/>
        <v>0.45645194879998841</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0.757 × (π²) × (1.05E+07) × ((0.1 / 1.5)²) / (12 × (1 - 0.31²))</v>
      </c>
      <c r="D56" s="71"/>
      <c r="E56" s="11"/>
      <c r="I56" s="71"/>
      <c r="J56" s="71"/>
      <c r="K56" s="71"/>
      <c r="V56" s="72"/>
      <c r="W56" s="4"/>
      <c r="X56" s="73">
        <f t="shared" si="0"/>
        <v>0.18518518518518517</v>
      </c>
      <c r="Y56" s="9">
        <v>5.4</v>
      </c>
      <c r="Z56" s="135">
        <f t="shared" si="1"/>
        <v>0.45376325309134968</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58</v>
      </c>
      <c r="C57" s="74">
        <f xml:space="preserve"> I48*(PI()^2)*G20*((G18/G17)^2)/(12*(1-G22^2))</f>
        <v>32164.414829030375</v>
      </c>
      <c r="D57" s="11" t="s">
        <v>56</v>
      </c>
      <c r="E57" s="11"/>
      <c r="F57" s="11"/>
      <c r="V57" s="72"/>
      <c r="X57" s="73">
        <f t="shared" si="0"/>
        <v>0.17857142857142858</v>
      </c>
      <c r="Y57" s="9">
        <v>5.6</v>
      </c>
      <c r="Z57" s="135">
        <f t="shared" si="1"/>
        <v>0.45135745538131916</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X58" s="73">
        <f t="shared" si="0"/>
        <v>0.16666666666666666</v>
      </c>
      <c r="Y58" s="9">
        <v>6</v>
      </c>
      <c r="Z58" s="135">
        <f t="shared" si="1"/>
        <v>0.44724747805705617</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109</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AA-SM-007-033</v>
      </c>
      <c r="K61" s="57"/>
      <c r="L61" s="58"/>
      <c r="M61" s="77"/>
      <c r="N61" s="77"/>
      <c r="O61" s="77"/>
      <c r="P61" s="98"/>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IR</v>
      </c>
      <c r="K62" s="57"/>
      <c r="L62" s="58"/>
      <c r="M62" s="77">
        <v>1</v>
      </c>
      <c r="N62" s="77"/>
      <c r="O62" s="77"/>
      <c r="P62" s="98"/>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98"/>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25</v>
      </c>
      <c r="F64" s="55" t="str">
        <f>$C$5</f>
        <v>STANDARD SPREADSHEET METHOD</v>
      </c>
      <c r="G64" s="43"/>
      <c r="H64" s="43"/>
      <c r="I64" s="59"/>
      <c r="J64" s="54"/>
      <c r="K64" s="43"/>
      <c r="L64" s="43"/>
      <c r="M64" s="77"/>
      <c r="N64" s="77"/>
      <c r="O64" s="77"/>
      <c r="P64" s="98"/>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COMPRESSION BUCKLING OF FLAT ISOTROPIC FLANGE</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31" t="s">
        <v>113</v>
      </c>
      <c r="C66" s="11"/>
      <c r="D66" s="11"/>
      <c r="E66" s="11"/>
      <c r="F66" s="11"/>
      <c r="G66" s="11"/>
      <c r="H66" s="11"/>
      <c r="I66" s="11"/>
      <c r="J66" s="11"/>
      <c r="K66" s="11"/>
      <c r="Y66" s="8"/>
      <c r="Z66" s="70"/>
      <c r="AA66" s="9"/>
      <c r="AB66" s="96"/>
      <c r="AC66" s="70"/>
      <c r="AD66" s="8"/>
      <c r="AE66" s="70"/>
      <c r="AF66" s="72"/>
      <c r="AG66" s="72"/>
      <c r="AH66" s="72"/>
      <c r="AI66" s="72"/>
      <c r="AP66" s="2"/>
      <c r="AQ66" s="15"/>
      <c r="BE66" s="15"/>
      <c r="BQ66" s="15"/>
      <c r="CC66" s="15"/>
      <c r="CO66" s="15"/>
    </row>
    <row r="67" spans="1:93" x14ac:dyDescent="0.3">
      <c r="C67" s="97"/>
      <c r="D67" s="97"/>
      <c r="E67" s="97"/>
      <c r="F67" s="97"/>
      <c r="G67" s="97"/>
      <c r="H67" s="97"/>
      <c r="I67" s="97"/>
      <c r="J67" s="97"/>
      <c r="K67" s="11"/>
      <c r="W67" s="70"/>
      <c r="Y67" s="8"/>
      <c r="Z67" s="70"/>
      <c r="AA67" s="9"/>
      <c r="AB67" s="96"/>
      <c r="AC67" s="70"/>
      <c r="AF67" s="72"/>
      <c r="AG67" s="72"/>
      <c r="AH67" s="72"/>
      <c r="AI67" s="72"/>
      <c r="AP67" s="2"/>
      <c r="AQ67" s="9"/>
      <c r="BE67" s="9"/>
      <c r="BQ67" s="9"/>
      <c r="CC67" s="9"/>
      <c r="CO67" s="9"/>
    </row>
    <row r="68" spans="1:93" x14ac:dyDescent="0.3">
      <c r="A68" s="11"/>
      <c r="B68" s="92"/>
      <c r="C68" s="97"/>
      <c r="D68" s="97"/>
      <c r="E68" s="97"/>
      <c r="F68" s="97"/>
      <c r="G68" s="97"/>
      <c r="H68" s="97"/>
      <c r="I68" s="97"/>
      <c r="J68" s="97"/>
      <c r="K68" s="11"/>
      <c r="W68" s="70"/>
      <c r="Y68" s="8"/>
      <c r="Z68" s="70"/>
      <c r="AA68" s="9"/>
      <c r="AB68" s="96"/>
      <c r="AC68" s="70"/>
      <c r="AF68" s="72"/>
      <c r="AG68" s="72"/>
      <c r="AH68" s="72"/>
      <c r="AI68" s="72"/>
      <c r="AP68" s="2"/>
      <c r="AQ68" s="9"/>
      <c r="BE68" s="9"/>
      <c r="BQ68" s="9"/>
      <c r="CC68" s="9"/>
      <c r="CO68" s="9"/>
    </row>
    <row r="69" spans="1:93" x14ac:dyDescent="0.3">
      <c r="A69" s="32"/>
      <c r="C69" s="83" t="s">
        <v>92</v>
      </c>
      <c r="D69" s="125">
        <v>0.1</v>
      </c>
      <c r="E69" s="86"/>
      <c r="F69" s="32"/>
      <c r="G69" s="32" t="str">
        <f>"Shape Factor"</f>
        <v>Shape Factor</v>
      </c>
      <c r="H69" s="122"/>
      <c r="I69" s="122"/>
      <c r="J69" s="4"/>
      <c r="K69" s="4"/>
      <c r="N69" s="106"/>
      <c r="O69" s="106"/>
      <c r="P69" s="106"/>
      <c r="Q69" s="106"/>
      <c r="R69" s="106"/>
      <c r="S69" s="106"/>
      <c r="U69" s="2"/>
      <c r="AP69" s="2"/>
    </row>
    <row r="70" spans="1:93" ht="15" x14ac:dyDescent="0.35">
      <c r="A70" s="32"/>
      <c r="B70" s="83" t="s">
        <v>103</v>
      </c>
      <c r="C70" s="83" t="s">
        <v>95</v>
      </c>
      <c r="D70" s="125">
        <v>65000</v>
      </c>
      <c r="E70" s="82" t="s">
        <v>56</v>
      </c>
      <c r="F70" s="114"/>
      <c r="G70" s="116" t="s">
        <v>91</v>
      </c>
      <c r="H70" s="121">
        <v>50</v>
      </c>
      <c r="I70" s="32"/>
      <c r="J70" s="4" t="s">
        <v>8</v>
      </c>
      <c r="K70" s="4"/>
      <c r="N70" s="106"/>
      <c r="O70" s="106"/>
      <c r="P70" s="106"/>
      <c r="Q70" s="106"/>
      <c r="R70" s="106"/>
      <c r="S70" s="106"/>
      <c r="U70" s="2"/>
      <c r="AP70" s="2"/>
    </row>
    <row r="71" spans="1:93" ht="15" x14ac:dyDescent="0.35">
      <c r="A71" s="32"/>
      <c r="B71" s="83"/>
      <c r="C71" s="83" t="s">
        <v>94</v>
      </c>
      <c r="D71" s="125">
        <v>63000</v>
      </c>
      <c r="E71" s="82" t="s">
        <v>56</v>
      </c>
      <c r="G71" s="116" t="s">
        <v>88</v>
      </c>
      <c r="H71" s="121">
        <v>20</v>
      </c>
      <c r="K71" s="4"/>
      <c r="N71" s="106"/>
      <c r="O71" s="106"/>
      <c r="P71" s="106"/>
      <c r="Q71" s="106"/>
      <c r="R71" s="106"/>
      <c r="S71" s="106"/>
      <c r="U71" s="2"/>
      <c r="AP71" s="2"/>
    </row>
    <row r="72" spans="1:93" ht="15" x14ac:dyDescent="0.35">
      <c r="A72" s="32"/>
      <c r="B72" s="83" t="s">
        <v>101</v>
      </c>
      <c r="C72" s="83" t="s">
        <v>102</v>
      </c>
      <c r="D72" s="125">
        <v>52000</v>
      </c>
      <c r="E72" s="82" t="s">
        <v>56</v>
      </c>
      <c r="F72" s="27"/>
      <c r="G72" s="116" t="s">
        <v>86</v>
      </c>
      <c r="H72" s="121">
        <v>25</v>
      </c>
      <c r="I72" s="32"/>
      <c r="J72" s="27"/>
      <c r="K72" s="4"/>
      <c r="N72" s="106"/>
      <c r="O72" s="106"/>
      <c r="P72" s="106"/>
      <c r="Q72" s="106"/>
      <c r="R72" s="106"/>
      <c r="S72" s="106"/>
      <c r="U72" s="2"/>
      <c r="X72" s="110" t="s">
        <v>78</v>
      </c>
      <c r="Y72" s="32"/>
      <c r="Z72" s="110"/>
      <c r="AA72" s="110"/>
      <c r="AB72" s="32"/>
      <c r="AC72" s="32"/>
      <c r="AD72" s="32"/>
      <c r="AF72" s="110" t="s">
        <v>70</v>
      </c>
      <c r="AP72" s="2"/>
    </row>
    <row r="73" spans="1:93" ht="15" x14ac:dyDescent="0.35">
      <c r="A73" s="32"/>
      <c r="B73" s="83"/>
      <c r="C73" s="83" t="s">
        <v>100</v>
      </c>
      <c r="D73" s="125">
        <v>51000</v>
      </c>
      <c r="E73" s="82" t="s">
        <v>56</v>
      </c>
      <c r="F73" s="27"/>
      <c r="G73" s="116" t="s">
        <v>85</v>
      </c>
      <c r="H73" s="121">
        <v>20</v>
      </c>
      <c r="I73" s="115"/>
      <c r="J73" s="21"/>
      <c r="K73" s="21"/>
      <c r="N73" s="106"/>
      <c r="O73" s="106"/>
      <c r="P73" s="106"/>
      <c r="Q73" s="106"/>
      <c r="R73" s="106"/>
      <c r="S73" s="106"/>
      <c r="U73" s="2"/>
      <c r="X73" s="110" t="s">
        <v>72</v>
      </c>
      <c r="Y73" s="32"/>
      <c r="Z73" s="110" t="s">
        <v>82</v>
      </c>
      <c r="AA73" s="110" t="s">
        <v>71</v>
      </c>
      <c r="AB73" s="110" t="s">
        <v>81</v>
      </c>
      <c r="AC73" s="110" t="s">
        <v>80</v>
      </c>
      <c r="AD73" s="143" t="s">
        <v>79</v>
      </c>
      <c r="AE73" s="143"/>
      <c r="AF73" s="110" t="s">
        <v>72</v>
      </c>
      <c r="AP73" s="2"/>
    </row>
    <row r="74" spans="1:93" ht="15" x14ac:dyDescent="0.35">
      <c r="A74" s="32"/>
      <c r="B74" s="83" t="s">
        <v>97</v>
      </c>
      <c r="C74" s="83" t="s">
        <v>99</v>
      </c>
      <c r="D74" s="125">
        <v>55000</v>
      </c>
      <c r="E74" s="82" t="s">
        <v>56</v>
      </c>
      <c r="F74" s="109"/>
      <c r="G74" s="141" t="s">
        <v>105</v>
      </c>
      <c r="H74" s="141"/>
      <c r="I74" s="141"/>
      <c r="J74" s="141"/>
      <c r="K74" s="4"/>
      <c r="N74" s="106"/>
      <c r="O74" s="106"/>
      <c r="P74" s="106"/>
      <c r="Q74" s="106"/>
      <c r="R74" s="106"/>
      <c r="S74" s="106"/>
      <c r="U74" s="2"/>
      <c r="X74" s="110" t="s">
        <v>70</v>
      </c>
      <c r="Y74" s="110" t="s">
        <v>84</v>
      </c>
      <c r="Z74" s="110" t="s">
        <v>77</v>
      </c>
      <c r="AA74" s="110" t="s">
        <v>69</v>
      </c>
      <c r="AB74" s="110" t="s">
        <v>69</v>
      </c>
      <c r="AC74" s="110" t="s">
        <v>76</v>
      </c>
      <c r="AD74" s="143" t="s">
        <v>75</v>
      </c>
      <c r="AE74" s="143"/>
      <c r="AF74" s="110" t="s">
        <v>74</v>
      </c>
      <c r="AP74" s="2"/>
    </row>
    <row r="75" spans="1:93" ht="15" x14ac:dyDescent="0.35">
      <c r="A75" s="32"/>
      <c r="B75" s="82"/>
      <c r="C75" s="83" t="s">
        <v>98</v>
      </c>
      <c r="D75" s="125">
        <v>53000</v>
      </c>
      <c r="E75" s="82" t="s">
        <v>56</v>
      </c>
      <c r="F75" s="109"/>
      <c r="G75" s="141"/>
      <c r="H75" s="141"/>
      <c r="I75" s="141"/>
      <c r="J75" s="141"/>
      <c r="K75" s="4"/>
      <c r="N75" s="106"/>
      <c r="O75" s="106"/>
      <c r="P75" s="106"/>
      <c r="Q75" s="106"/>
      <c r="R75" s="106"/>
      <c r="S75" s="106"/>
      <c r="U75" s="2"/>
      <c r="X75" s="110" t="s">
        <v>68</v>
      </c>
      <c r="Y75" s="110"/>
      <c r="Z75" s="110" t="s">
        <v>73</v>
      </c>
      <c r="AA75" s="110"/>
      <c r="AB75" s="110"/>
      <c r="AC75" s="32"/>
      <c r="AD75" s="143" t="s">
        <v>83</v>
      </c>
      <c r="AE75" s="143"/>
      <c r="AF75" s="110" t="s">
        <v>68</v>
      </c>
      <c r="AH75" s="120">
        <f>C57</f>
        <v>32164.414829030375</v>
      </c>
      <c r="AP75" s="2"/>
    </row>
    <row r="76" spans="1:93" ht="15" x14ac:dyDescent="0.35">
      <c r="A76" s="32"/>
      <c r="B76" s="83" t="s">
        <v>93</v>
      </c>
      <c r="C76" s="83" t="s">
        <v>96</v>
      </c>
      <c r="D76" s="125">
        <v>46000</v>
      </c>
      <c r="E76" s="82" t="s">
        <v>56</v>
      </c>
      <c r="F76" s="32"/>
      <c r="G76" s="32"/>
      <c r="H76" s="32"/>
      <c r="I76" s="4"/>
      <c r="J76" s="4"/>
      <c r="K76" s="4"/>
      <c r="N76" s="106"/>
      <c r="O76" s="106"/>
      <c r="P76" s="106"/>
      <c r="Q76" s="106"/>
      <c r="R76" s="106"/>
      <c r="S76" s="106"/>
      <c r="U76" s="2"/>
      <c r="X76" s="117"/>
      <c r="Y76" s="118"/>
      <c r="Z76" s="118"/>
      <c r="AA76" s="118"/>
      <c r="AB76" s="118"/>
      <c r="AC76" s="118"/>
      <c r="AD76" s="128" t="s">
        <v>106</v>
      </c>
      <c r="AE76" s="2" t="s">
        <v>108</v>
      </c>
      <c r="AF76" s="117"/>
      <c r="AG76" s="4"/>
      <c r="AP76" s="2"/>
    </row>
    <row r="77" spans="1:93" x14ac:dyDescent="0.3">
      <c r="A77" s="32"/>
      <c r="F77" s="32"/>
      <c r="G77" s="32"/>
      <c r="H77" s="32"/>
      <c r="I77" s="4"/>
      <c r="J77" s="4"/>
      <c r="K77" s="4"/>
      <c r="N77" s="106"/>
      <c r="O77" s="106"/>
      <c r="P77" s="106"/>
      <c r="Q77" s="106"/>
      <c r="R77" s="106"/>
      <c r="S77" s="106"/>
      <c r="U77" s="2"/>
      <c r="X77" s="110" t="s">
        <v>67</v>
      </c>
      <c r="Y77" s="110"/>
      <c r="Z77" s="32"/>
      <c r="AA77" s="110" t="s">
        <v>67</v>
      </c>
      <c r="AB77" s="110" t="s">
        <v>67</v>
      </c>
      <c r="AC77" s="32"/>
      <c r="AD77" s="32" t="s">
        <v>107</v>
      </c>
      <c r="AF77" s="110" t="s">
        <v>67</v>
      </c>
      <c r="AG77" s="4"/>
      <c r="AP77" s="2"/>
    </row>
    <row r="78" spans="1:93" x14ac:dyDescent="0.3">
      <c r="A78" s="32"/>
      <c r="F78" s="32"/>
      <c r="G78" s="32"/>
      <c r="H78" s="32"/>
      <c r="I78" s="4"/>
      <c r="J78" s="4"/>
      <c r="K78" s="4"/>
      <c r="N78" s="106"/>
      <c r="O78" s="106"/>
      <c r="P78" s="106"/>
      <c r="Q78" s="106"/>
      <c r="R78" s="106"/>
      <c r="S78" s="106"/>
      <c r="U78" s="2"/>
      <c r="X78" s="107">
        <v>0</v>
      </c>
      <c r="Y78" s="109">
        <f t="shared" ref="Y78:Y103" si="4">IF(X78&lt;MIN($D$74:$D$75),MIN($H$70:$H$73),(LOG(($D$69)/0.002))/(LOG(MIN($D$70:$D$71)/MIN($D$74:$D$75))))</f>
        <v>20</v>
      </c>
      <c r="Z78" s="108">
        <f t="shared" ref="Z78:Z103" si="5">(X78/MIN($G$20:$G$21))+0.002*(X78/MIN($D$74:$D$75))^Y78</f>
        <v>0</v>
      </c>
      <c r="AA78" s="107">
        <f>AB78</f>
        <v>10500000</v>
      </c>
      <c r="AB78" s="107">
        <f>MIN($G$20:$G$21)</f>
        <v>10500000</v>
      </c>
      <c r="AC78" s="109">
        <f>0.5-((0.5-$G$22)*(AB78/MIN($G$20:$G$21)))</f>
        <v>0.31</v>
      </c>
      <c r="AD78" s="109">
        <f>((AB78/MIN($G$20:$G$21))*(1-$G$22^2)/(1-AC78^2))</f>
        <v>1</v>
      </c>
      <c r="AE78" s="28">
        <f>((AB78/MIN($G$20:$G$21))*(1-$G$22^2)/(1-AC78^2))*(0.33+0.335*(1+((3*AA78)/AB78))^0.5)</f>
        <v>1</v>
      </c>
      <c r="AF78" s="107">
        <f>X78/AE78</f>
        <v>0</v>
      </c>
      <c r="AG78" s="4">
        <v>1</v>
      </c>
      <c r="AP78" s="2"/>
    </row>
    <row r="79" spans="1:93" x14ac:dyDescent="0.3">
      <c r="B79" s="142" t="s">
        <v>116</v>
      </c>
      <c r="C79" s="142"/>
      <c r="D79" s="142"/>
      <c r="E79" s="142"/>
      <c r="F79" s="142"/>
      <c r="G79" s="142"/>
      <c r="H79" s="142"/>
      <c r="I79" s="142"/>
      <c r="J79" s="142"/>
      <c r="N79" s="106"/>
      <c r="O79" s="106"/>
      <c r="P79" s="106"/>
      <c r="Q79" s="106"/>
      <c r="R79" s="106"/>
      <c r="S79" s="106"/>
      <c r="U79" s="2"/>
      <c r="W79" s="11"/>
      <c r="X79" s="107">
        <f>MIN(D74:D75)*0.7</f>
        <v>37100</v>
      </c>
      <c r="Y79" s="109">
        <f t="shared" si="4"/>
        <v>20</v>
      </c>
      <c r="Z79" s="108">
        <f t="shared" si="5"/>
        <v>3.5349291786592853E-3</v>
      </c>
      <c r="AA79" s="107">
        <f t="shared" ref="AA79:AA103" si="6">X79/((X79/MIN($G$20:$G$21))+0.002*Y79*(X79/MIN($D$74:$D$75))^(Y79-1))</f>
        <v>10366229.922616547</v>
      </c>
      <c r="AB79" s="107">
        <f t="shared" ref="AB79:AB103" si="7">X79/((X79/MIN($G$20:$G$21))+0.002*(X79/MIN($D$74:$D$75))^Y79)</f>
        <v>10495259.770401157</v>
      </c>
      <c r="AC79" s="109">
        <f t="shared" ref="AC79:AC103" si="8">0.5-((0.5-$G$22)*(AB79/MIN($G$20:$G$21)))</f>
        <v>0.31008577558321715</v>
      </c>
      <c r="AD79" s="109">
        <f t="shared" ref="AD79:AD103" si="9">((AB79/MIN($G$20:$G$21))*(1-$G$22^2)/(1-AC79^2))</f>
        <v>0.99960736949312234</v>
      </c>
      <c r="AE79" s="28">
        <f t="shared" ref="AE79:AE103" si="10">((AB79/MIN($G$20:$G$21))*(1-$G$22^2)/(1-AC79^2))*(0.33+0.335*(1+((3*AA79)/AB79))^0.5)</f>
        <v>0.9965125373170125</v>
      </c>
      <c r="AF79" s="107">
        <f t="shared" ref="AF79:AF103" si="11">X79/AE79</f>
        <v>37229.837669566296</v>
      </c>
      <c r="AG79" s="4">
        <v>2</v>
      </c>
      <c r="AH79" s="2">
        <f>MATCH(AH75,AF78:AF103)</f>
        <v>1</v>
      </c>
      <c r="AI79" s="2">
        <f>AH79+1</f>
        <v>2</v>
      </c>
      <c r="AP79" s="2"/>
    </row>
    <row r="80" spans="1:93" x14ac:dyDescent="0.3">
      <c r="B80" s="142"/>
      <c r="C80" s="142"/>
      <c r="D80" s="142"/>
      <c r="E80" s="142"/>
      <c r="F80" s="142"/>
      <c r="G80" s="142"/>
      <c r="H80" s="142"/>
      <c r="I80" s="142"/>
      <c r="J80" s="142"/>
      <c r="N80" s="106"/>
      <c r="O80" s="106"/>
      <c r="P80" s="106"/>
      <c r="Q80" s="106"/>
      <c r="R80" s="106"/>
      <c r="S80" s="106"/>
      <c r="U80" s="2"/>
      <c r="W80" s="2">
        <f>(X95-X79)/16</f>
        <v>993.75</v>
      </c>
      <c r="X80" s="107">
        <f t="shared" ref="X80:X88" si="12">X79+$W$80</f>
        <v>38093.75</v>
      </c>
      <c r="Y80" s="109">
        <f t="shared" si="4"/>
        <v>20</v>
      </c>
      <c r="Z80" s="108">
        <f t="shared" si="5"/>
        <v>3.6306838069614044E-3</v>
      </c>
      <c r="AA80" s="107">
        <f t="shared" si="6"/>
        <v>10286382.162319912</v>
      </c>
      <c r="AB80" s="107">
        <f t="shared" si="7"/>
        <v>10492169.526566803</v>
      </c>
      <c r="AC80" s="109">
        <f t="shared" si="8"/>
        <v>0.31014169428117211</v>
      </c>
      <c r="AD80" s="109">
        <f t="shared" si="9"/>
        <v>0.99935139024142039</v>
      </c>
      <c r="AE80" s="28">
        <f t="shared" si="10"/>
        <v>0.99440846883401679</v>
      </c>
      <c r="AF80" s="107">
        <f t="shared" si="11"/>
        <v>38307.950096871587</v>
      </c>
      <c r="AG80" s="4">
        <v>3</v>
      </c>
      <c r="AH80" s="120">
        <f>INDEX(AF78:AF103,AH79)</f>
        <v>0</v>
      </c>
      <c r="AI80" s="120">
        <f>INDEX(AF78:AF103,AI79)</f>
        <v>37229.837669566296</v>
      </c>
      <c r="AP80" s="2"/>
    </row>
    <row r="81" spans="1:42" x14ac:dyDescent="0.3">
      <c r="A81" s="32"/>
      <c r="B81"/>
      <c r="C81"/>
      <c r="D81" s="123"/>
      <c r="E81" s="123"/>
      <c r="F81" s="123"/>
      <c r="G81" s="115"/>
      <c r="H81" s="115"/>
      <c r="I81" s="4"/>
      <c r="J81"/>
      <c r="K81" s="4"/>
      <c r="N81" s="106"/>
      <c r="O81" s="106"/>
      <c r="P81" s="106"/>
      <c r="Q81" s="106"/>
      <c r="R81" s="106"/>
      <c r="S81" s="106"/>
      <c r="U81" s="2"/>
      <c r="X81" s="107">
        <f t="shared" si="12"/>
        <v>39087.5</v>
      </c>
      <c r="Y81" s="109">
        <f t="shared" si="4"/>
        <v>20</v>
      </c>
      <c r="Z81" s="108">
        <f t="shared" si="5"/>
        <v>3.7271508450477664E-3</v>
      </c>
      <c r="AA81" s="107">
        <f t="shared" si="6"/>
        <v>10164437.654848389</v>
      </c>
      <c r="AB81" s="107">
        <f t="shared" si="7"/>
        <v>10487233.177571878</v>
      </c>
      <c r="AC81" s="109">
        <f t="shared" si="8"/>
        <v>0.3102310186915565</v>
      </c>
      <c r="AD81" s="109">
        <f t="shared" si="9"/>
        <v>0.99894246310586032</v>
      </c>
      <c r="AE81" s="28">
        <f t="shared" si="10"/>
        <v>0.99117209642905468</v>
      </c>
      <c r="AF81" s="107">
        <f t="shared" si="11"/>
        <v>39435.633973981399</v>
      </c>
      <c r="AG81" s="4">
        <v>4</v>
      </c>
      <c r="AH81" s="120">
        <f>INDEX(X78:X103,AH79)</f>
        <v>0</v>
      </c>
      <c r="AI81" s="120">
        <f>INDEX(X78:X103,AI79)</f>
        <v>37100</v>
      </c>
      <c r="AP81" s="2"/>
    </row>
    <row r="82" spans="1:42" x14ac:dyDescent="0.3">
      <c r="A82" s="32"/>
      <c r="B82" s="116"/>
      <c r="C82" s="124"/>
      <c r="D82" s="32"/>
      <c r="E82" s="122"/>
      <c r="F82" s="122"/>
      <c r="G82" s="115"/>
      <c r="H82" s="115"/>
      <c r="I82" s="4"/>
      <c r="J82" s="4"/>
      <c r="K82" s="4"/>
      <c r="N82" s="106"/>
      <c r="O82" s="106"/>
      <c r="P82" s="106"/>
      <c r="Q82" s="106"/>
      <c r="R82" s="106"/>
      <c r="S82" s="106"/>
      <c r="U82" s="2"/>
      <c r="W82" s="2">
        <f>(X103-X95)/8</f>
        <v>1250</v>
      </c>
      <c r="X82" s="107">
        <f t="shared" si="12"/>
        <v>40081.25</v>
      </c>
      <c r="Y82" s="109">
        <f t="shared" si="4"/>
        <v>20</v>
      </c>
      <c r="Z82" s="108">
        <f t="shared" si="5"/>
        <v>3.8247494205108203E-3</v>
      </c>
      <c r="AA82" s="107">
        <f t="shared" si="6"/>
        <v>9982183.4287114665</v>
      </c>
      <c r="AB82" s="107">
        <f t="shared" si="7"/>
        <v>10479444.688600512</v>
      </c>
      <c r="AC82" s="109">
        <f t="shared" si="8"/>
        <v>0.31037195325389549</v>
      </c>
      <c r="AD82" s="109">
        <f t="shared" si="9"/>
        <v>0.99829719856410593</v>
      </c>
      <c r="AE82" s="28">
        <f t="shared" si="10"/>
        <v>0.98628759023761603</v>
      </c>
      <c r="AF82" s="107">
        <f t="shared" si="11"/>
        <v>40638.50178865542</v>
      </c>
      <c r="AG82" s="4">
        <v>5</v>
      </c>
      <c r="AP82" s="2"/>
    </row>
    <row r="83" spans="1:42" x14ac:dyDescent="0.3">
      <c r="A83" s="32"/>
      <c r="K83" s="4"/>
      <c r="N83" s="106"/>
      <c r="O83" s="106"/>
      <c r="P83" s="106"/>
      <c r="Q83" s="106"/>
      <c r="R83" s="106"/>
      <c r="S83" s="106"/>
      <c r="U83" s="2"/>
      <c r="X83" s="107">
        <f t="shared" si="12"/>
        <v>41075</v>
      </c>
      <c r="Y83" s="109">
        <f t="shared" si="4"/>
        <v>20</v>
      </c>
      <c r="Z83" s="108">
        <f t="shared" si="5"/>
        <v>3.9241245604380061E-3</v>
      </c>
      <c r="AA83" s="107">
        <f t="shared" si="6"/>
        <v>9716708.7899166103</v>
      </c>
      <c r="AB83" s="107">
        <f t="shared" si="7"/>
        <v>10467302.800249353</v>
      </c>
      <c r="AC83" s="109">
        <f t="shared" si="8"/>
        <v>0.3105916636145355</v>
      </c>
      <c r="AD83" s="109">
        <f t="shared" si="9"/>
        <v>0.99729109973789976</v>
      </c>
      <c r="AE83" s="28">
        <f t="shared" si="10"/>
        <v>0.97907485014962425</v>
      </c>
      <c r="AF83" s="107">
        <f t="shared" si="11"/>
        <v>41952.87009335684</v>
      </c>
      <c r="AG83" s="4">
        <v>6</v>
      </c>
      <c r="AP83" s="2"/>
    </row>
    <row r="84" spans="1:42" x14ac:dyDescent="0.3">
      <c r="A84" s="32"/>
      <c r="K84" s="4"/>
      <c r="N84" s="106"/>
      <c r="O84" s="106"/>
      <c r="P84" s="106"/>
      <c r="Q84" s="106"/>
      <c r="R84" s="106"/>
      <c r="S84" s="106"/>
      <c r="U84" s="2"/>
      <c r="W84" s="11"/>
      <c r="X84" s="107">
        <f t="shared" si="12"/>
        <v>42068.75</v>
      </c>
      <c r="Y84" s="109">
        <f t="shared" si="4"/>
        <v>20</v>
      </c>
      <c r="Z84" s="108">
        <f t="shared" si="5"/>
        <v>4.0262584422110295E-3</v>
      </c>
      <c r="AA84" s="107">
        <f t="shared" si="6"/>
        <v>9341971.4991131071</v>
      </c>
      <c r="AB84" s="107">
        <f t="shared" si="7"/>
        <v>10448596.532938369</v>
      </c>
      <c r="AC84" s="109">
        <f t="shared" si="8"/>
        <v>0.31093015797540097</v>
      </c>
      <c r="AD84" s="109">
        <f t="shared" si="9"/>
        <v>0.99574067809770861</v>
      </c>
      <c r="AE84" s="28">
        <f t="shared" si="10"/>
        <v>0.96869560879145733</v>
      </c>
      <c r="AF84" s="107">
        <f t="shared" si="11"/>
        <v>43428.244763579438</v>
      </c>
      <c r="AG84" s="4">
        <v>7</v>
      </c>
      <c r="AI84" s="2">
        <f>(AI81-AH81)/(AI80-AH80)*(AH75-AH80)+AH81</f>
        <v>32052.242632594003</v>
      </c>
      <c r="AP84" s="2"/>
    </row>
    <row r="85" spans="1:42" x14ac:dyDescent="0.3">
      <c r="A85" s="32"/>
      <c r="B85" s="32"/>
      <c r="C85" s="122"/>
      <c r="D85" s="122"/>
      <c r="E85" s="122"/>
      <c r="F85" s="122"/>
      <c r="G85" s="115"/>
      <c r="H85" s="115"/>
      <c r="I85" s="4"/>
      <c r="J85" s="4"/>
      <c r="K85" s="4"/>
      <c r="N85" s="106"/>
      <c r="O85" s="106"/>
      <c r="P85" s="106"/>
      <c r="Q85" s="106"/>
      <c r="R85" s="106"/>
      <c r="S85" s="106"/>
      <c r="U85" s="2"/>
      <c r="W85" s="11"/>
      <c r="X85" s="107">
        <f t="shared" si="12"/>
        <v>43062.5</v>
      </c>
      <c r="Y85" s="109">
        <f t="shared" si="4"/>
        <v>20</v>
      </c>
      <c r="Z85" s="108">
        <f t="shared" si="5"/>
        <v>4.1326315513441842E-3</v>
      </c>
      <c r="AA85" s="107">
        <f t="shared" si="6"/>
        <v>8833107.5068855546</v>
      </c>
      <c r="AB85" s="107">
        <f t="shared" si="7"/>
        <v>10420115.963639064</v>
      </c>
      <c r="AC85" s="109">
        <f t="shared" si="8"/>
        <v>0.31144552065795983</v>
      </c>
      <c r="AD85" s="109">
        <f t="shared" si="9"/>
        <v>0.99337923497382585</v>
      </c>
      <c r="AE85" s="28">
        <f t="shared" si="10"/>
        <v>0.95421428642789385</v>
      </c>
      <c r="AF85" s="107">
        <f t="shared" si="11"/>
        <v>45128.752118357705</v>
      </c>
      <c r="AG85" s="4">
        <v>8</v>
      </c>
      <c r="AP85" s="2"/>
    </row>
    <row r="86" spans="1:42" x14ac:dyDescent="0.3">
      <c r="A86" s="32"/>
      <c r="B86" s="126" t="s">
        <v>104</v>
      </c>
      <c r="E86" s="123"/>
      <c r="F86" s="123"/>
      <c r="G86" s="115"/>
      <c r="H86" s="115"/>
      <c r="I86" s="4"/>
      <c r="J86" s="4"/>
      <c r="K86" s="4"/>
      <c r="N86" s="106"/>
      <c r="O86" s="106"/>
      <c r="P86" s="106"/>
      <c r="Q86" s="106"/>
      <c r="R86" s="106"/>
      <c r="S86" s="106"/>
      <c r="U86" s="2"/>
      <c r="X86" s="107">
        <f t="shared" si="12"/>
        <v>44056.25</v>
      </c>
      <c r="Y86" s="109">
        <f t="shared" si="4"/>
        <v>20</v>
      </c>
      <c r="Z86" s="108">
        <f t="shared" si="5"/>
        <v>4.2454540647889789E-3</v>
      </c>
      <c r="AA86" s="107">
        <f t="shared" si="6"/>
        <v>8174132.6109482199</v>
      </c>
      <c r="AB86" s="107">
        <f t="shared" si="7"/>
        <v>10377276.335503073</v>
      </c>
      <c r="AC86" s="109">
        <f t="shared" si="8"/>
        <v>0.31222071392899198</v>
      </c>
      <c r="AD86" s="109">
        <f t="shared" si="9"/>
        <v>0.98982515826362039</v>
      </c>
      <c r="AE86" s="28">
        <f t="shared" si="10"/>
        <v>0.93473850343810549</v>
      </c>
      <c r="AF86" s="107">
        <f t="shared" si="11"/>
        <v>47132.165667675654</v>
      </c>
      <c r="AG86" s="4">
        <v>9</v>
      </c>
      <c r="AP86" s="2"/>
    </row>
    <row r="87" spans="1:42" x14ac:dyDescent="0.3">
      <c r="A87" s="32"/>
      <c r="B87" s="116"/>
      <c r="C87" s="114"/>
      <c r="D87" s="115"/>
      <c r="E87" s="116"/>
      <c r="F87" s="114"/>
      <c r="G87" s="115"/>
      <c r="H87" s="115"/>
      <c r="I87" s="4"/>
      <c r="J87" s="4"/>
      <c r="K87" s="4"/>
      <c r="N87" s="106"/>
      <c r="O87" s="106"/>
      <c r="P87" s="106"/>
      <c r="Q87" s="106"/>
      <c r="R87" s="106"/>
      <c r="S87" s="106"/>
      <c r="U87" s="2"/>
      <c r="X87" s="107">
        <f t="shared" si="12"/>
        <v>45050</v>
      </c>
      <c r="Y87" s="109">
        <f t="shared" si="4"/>
        <v>20</v>
      </c>
      <c r="Z87" s="108">
        <f t="shared" si="5"/>
        <v>4.3679952526452194E-3</v>
      </c>
      <c r="AA87" s="107">
        <f t="shared" si="6"/>
        <v>7367787.7186398385</v>
      </c>
      <c r="AB87" s="107">
        <f t="shared" si="7"/>
        <v>10313655.898027388</v>
      </c>
      <c r="AC87" s="109">
        <f t="shared" si="8"/>
        <v>0.31337194089283771</v>
      </c>
      <c r="AD87" s="109">
        <f t="shared" si="9"/>
        <v>0.98454244590231599</v>
      </c>
      <c r="AE87" s="28">
        <f t="shared" si="10"/>
        <v>0.90963451993254651</v>
      </c>
      <c r="AF87" s="107">
        <f t="shared" si="11"/>
        <v>49525.385210029912</v>
      </c>
      <c r="AG87" s="4">
        <v>10</v>
      </c>
      <c r="AH87" s="120">
        <f>AH75</f>
        <v>32164.414829030375</v>
      </c>
      <c r="AI87" s="2">
        <v>0</v>
      </c>
      <c r="AP87" s="2"/>
    </row>
    <row r="88" spans="1:42" x14ac:dyDescent="0.3">
      <c r="A88" s="32"/>
      <c r="B88" s="116"/>
      <c r="C88" s="113"/>
      <c r="D88" s="115"/>
      <c r="E88" s="116"/>
      <c r="F88" s="114"/>
      <c r="G88" s="115"/>
      <c r="H88" s="115"/>
      <c r="I88" s="19"/>
      <c r="J88" s="4"/>
      <c r="K88" s="4"/>
      <c r="L88" s="21"/>
      <c r="N88" s="106"/>
      <c r="O88" s="106"/>
      <c r="P88" s="106"/>
      <c r="Q88" s="106"/>
      <c r="R88" s="106"/>
      <c r="S88" s="106"/>
      <c r="U88" s="2"/>
      <c r="X88" s="107">
        <f t="shared" si="12"/>
        <v>46043.75</v>
      </c>
      <c r="Y88" s="109">
        <f t="shared" si="4"/>
        <v>20</v>
      </c>
      <c r="Z88" s="108">
        <f t="shared" si="5"/>
        <v>4.5050486372475631E-3</v>
      </c>
      <c r="AA88" s="107">
        <f t="shared" si="6"/>
        <v>6443210.5912138103</v>
      </c>
      <c r="AB88" s="107">
        <f t="shared" si="7"/>
        <v>10220477.892139079</v>
      </c>
      <c r="AC88" s="109">
        <f t="shared" si="8"/>
        <v>0.31505801909462616</v>
      </c>
      <c r="AD88" s="109">
        <f t="shared" si="9"/>
        <v>0.97679536713100878</v>
      </c>
      <c r="AE88" s="28">
        <f t="shared" si="10"/>
        <v>0.8787491636346042</v>
      </c>
      <c r="AF88" s="107">
        <f t="shared" si="11"/>
        <v>52396.920424433672</v>
      </c>
      <c r="AG88" s="4">
        <v>11</v>
      </c>
      <c r="AH88" s="120">
        <f>AH75</f>
        <v>32164.414829030375</v>
      </c>
      <c r="AI88" s="2">
        <f>AI84</f>
        <v>32052.242632594003</v>
      </c>
      <c r="AP88" s="2"/>
    </row>
    <row r="89" spans="1:42" x14ac:dyDescent="0.3">
      <c r="A89" s="32"/>
      <c r="B89" s="116"/>
      <c r="C89" s="114"/>
      <c r="D89" s="115"/>
      <c r="E89" s="116"/>
      <c r="F89" s="114"/>
      <c r="G89" s="115"/>
      <c r="H89" s="115"/>
      <c r="I89" s="4"/>
      <c r="J89" s="4"/>
      <c r="K89" s="4"/>
      <c r="L89" s="112"/>
      <c r="N89" s="106"/>
      <c r="O89" s="106"/>
      <c r="P89" s="106"/>
      <c r="Q89" s="106"/>
      <c r="R89" s="106"/>
      <c r="S89" s="106"/>
      <c r="U89" s="2"/>
      <c r="X89" s="107">
        <f t="shared" ref="X89:X94" si="13">X88+$W$80</f>
        <v>47037.5</v>
      </c>
      <c r="Y89" s="109">
        <f t="shared" si="4"/>
        <v>20</v>
      </c>
      <c r="Z89" s="108">
        <f t="shared" si="5"/>
        <v>4.6635837960884077E-3</v>
      </c>
      <c r="AA89" s="107">
        <f t="shared" si="6"/>
        <v>5455377.0928270975</v>
      </c>
      <c r="AB89" s="107">
        <f t="shared" si="7"/>
        <v>10086127.333972817</v>
      </c>
      <c r="AC89" s="109">
        <f t="shared" si="8"/>
        <v>0.3174891244328728</v>
      </c>
      <c r="AD89" s="109">
        <f t="shared" si="9"/>
        <v>0.96560369507814214</v>
      </c>
      <c r="AE89" s="28">
        <f t="shared" si="10"/>
        <v>0.84250637760171065</v>
      </c>
      <c r="AF89" s="107">
        <f t="shared" si="11"/>
        <v>55830.437905879771</v>
      </c>
      <c r="AG89" s="4">
        <v>12</v>
      </c>
      <c r="AH89" s="2">
        <v>0</v>
      </c>
      <c r="AI89" s="2">
        <f>AI84</f>
        <v>32052.242632594003</v>
      </c>
      <c r="AP89" s="2"/>
    </row>
    <row r="90" spans="1:42" x14ac:dyDescent="0.3">
      <c r="A90" s="32"/>
      <c r="B90" s="32"/>
      <c r="C90" s="32"/>
      <c r="D90" s="32"/>
      <c r="E90" s="32"/>
      <c r="F90" s="32"/>
      <c r="G90" s="32"/>
      <c r="H90" s="32"/>
      <c r="I90" s="4"/>
      <c r="J90" s="4"/>
      <c r="K90" s="4"/>
      <c r="L90" s="112"/>
      <c r="N90" s="106"/>
      <c r="O90" s="106"/>
      <c r="P90" s="106"/>
      <c r="Q90" s="106"/>
      <c r="R90" s="106"/>
      <c r="S90" s="106"/>
      <c r="U90" s="2"/>
      <c r="X90" s="107">
        <f t="shared" si="13"/>
        <v>48031.25</v>
      </c>
      <c r="Y90" s="109">
        <f t="shared" si="4"/>
        <v>20</v>
      </c>
      <c r="Z90" s="108">
        <f t="shared" si="5"/>
        <v>4.8536529650283098E-3</v>
      </c>
      <c r="AA90" s="107">
        <f t="shared" si="6"/>
        <v>4473381.4398985002</v>
      </c>
      <c r="AB90" s="107">
        <f t="shared" si="7"/>
        <v>9895897.0379786622</v>
      </c>
      <c r="AC90" s="109">
        <f t="shared" si="8"/>
        <v>0.32093138693181467</v>
      </c>
      <c r="AD90" s="109">
        <f t="shared" si="9"/>
        <v>0.94971290217228044</v>
      </c>
      <c r="AE90" s="28">
        <f t="shared" si="10"/>
        <v>0.80176175442747444</v>
      </c>
      <c r="AF90" s="107">
        <f t="shared" si="11"/>
        <v>59907.135423662563</v>
      </c>
      <c r="AG90" s="4">
        <v>13</v>
      </c>
      <c r="AP90" s="2"/>
    </row>
    <row r="91" spans="1:42" x14ac:dyDescent="0.3">
      <c r="A91" s="32"/>
      <c r="B91" s="32"/>
      <c r="C91" s="32"/>
      <c r="D91" s="32"/>
      <c r="E91" s="32"/>
      <c r="F91" s="32"/>
      <c r="G91" s="32"/>
      <c r="H91" s="32"/>
      <c r="I91" s="4"/>
      <c r="J91" s="4"/>
      <c r="K91" s="4"/>
      <c r="L91" s="112"/>
      <c r="N91" s="106"/>
      <c r="O91" s="106"/>
      <c r="P91" s="106"/>
      <c r="Q91" s="106"/>
      <c r="R91" s="106"/>
      <c r="S91" s="106"/>
      <c r="U91" s="2"/>
      <c r="X91" s="107">
        <f t="shared" si="13"/>
        <v>49025</v>
      </c>
      <c r="Y91" s="109">
        <f t="shared" si="4"/>
        <v>20</v>
      </c>
      <c r="Z91" s="108">
        <f t="shared" si="5"/>
        <v>5.0896431467808067E-3</v>
      </c>
      <c r="AA91" s="107">
        <f t="shared" si="6"/>
        <v>3562085.4666173337</v>
      </c>
      <c r="AB91" s="107">
        <f t="shared" si="7"/>
        <v>9632305.9566579349</v>
      </c>
      <c r="AC91" s="109">
        <f t="shared" si="8"/>
        <v>0.32570113030809456</v>
      </c>
      <c r="AD91" s="109">
        <f t="shared" si="9"/>
        <v>0.92760546358191975</v>
      </c>
      <c r="AE91" s="28">
        <f t="shared" si="10"/>
        <v>0.75743487342880678</v>
      </c>
      <c r="AF91" s="107">
        <f t="shared" si="11"/>
        <v>64725.036725692808</v>
      </c>
      <c r="AG91" s="4">
        <v>14</v>
      </c>
      <c r="AP91" s="2"/>
    </row>
    <row r="92" spans="1:42" x14ac:dyDescent="0.3">
      <c r="A92" s="32"/>
      <c r="B92" s="111"/>
      <c r="C92" s="119"/>
      <c r="D92" s="119"/>
      <c r="E92" s="119"/>
      <c r="F92" s="119"/>
      <c r="G92" s="119"/>
      <c r="H92" s="119"/>
      <c r="I92" s="119"/>
      <c r="J92" s="119"/>
      <c r="K92" s="4"/>
      <c r="L92" s="112"/>
      <c r="N92" s="106"/>
      <c r="O92" s="106"/>
      <c r="P92" s="106"/>
      <c r="Q92" s="106"/>
      <c r="R92" s="106"/>
      <c r="S92" s="106"/>
      <c r="U92" s="2"/>
      <c r="X92" s="107">
        <f t="shared" si="13"/>
        <v>50018.75</v>
      </c>
      <c r="Y92" s="109">
        <f t="shared" si="4"/>
        <v>20</v>
      </c>
      <c r="Z92" s="108">
        <f t="shared" si="5"/>
        <v>5.3919937004804968E-3</v>
      </c>
      <c r="AA92" s="107">
        <f t="shared" si="6"/>
        <v>2766718.7859127386</v>
      </c>
      <c r="AB92" s="107">
        <f t="shared" si="7"/>
        <v>9276485.2443248741</v>
      </c>
      <c r="AC92" s="109">
        <f t="shared" si="8"/>
        <v>0.33213979081697848</v>
      </c>
      <c r="AD92" s="109">
        <f t="shared" si="9"/>
        <v>0.8975924180655469</v>
      </c>
      <c r="AE92" s="28">
        <f t="shared" si="10"/>
        <v>0.71011004941187628</v>
      </c>
      <c r="AF92" s="107">
        <f t="shared" si="11"/>
        <v>70438.025826315614</v>
      </c>
      <c r="AG92" s="4">
        <v>15</v>
      </c>
      <c r="AP92" s="2"/>
    </row>
    <row r="93" spans="1:42" x14ac:dyDescent="0.3">
      <c r="A93" s="32"/>
      <c r="B93" s="116"/>
      <c r="C93" s="119"/>
      <c r="D93" s="119"/>
      <c r="E93" s="119"/>
      <c r="F93" s="119"/>
      <c r="G93" s="119"/>
      <c r="H93" s="119"/>
      <c r="I93" s="119"/>
      <c r="J93" s="119"/>
      <c r="K93" s="4"/>
      <c r="L93" s="112"/>
      <c r="N93" s="106"/>
      <c r="O93" s="106"/>
      <c r="P93" s="106"/>
      <c r="Q93" s="106"/>
      <c r="R93" s="106"/>
      <c r="S93" s="106"/>
      <c r="U93" s="2"/>
      <c r="X93" s="107">
        <f t="shared" si="13"/>
        <v>51012.5</v>
      </c>
      <c r="Y93" s="109">
        <f t="shared" si="4"/>
        <v>20</v>
      </c>
      <c r="Z93" s="108">
        <f t="shared" si="5"/>
        <v>5.7895371756223413E-3</v>
      </c>
      <c r="AA93" s="107">
        <f t="shared" si="6"/>
        <v>2107255.8801771975</v>
      </c>
      <c r="AB93" s="107">
        <f t="shared" si="7"/>
        <v>8811153.370738389</v>
      </c>
      <c r="AC93" s="109">
        <f t="shared" si="8"/>
        <v>0.34056008186282916</v>
      </c>
      <c r="AD93" s="109">
        <f t="shared" si="9"/>
        <v>0.85802972211632189</v>
      </c>
      <c r="AE93" s="28">
        <f t="shared" si="10"/>
        <v>0.65984679075083796</v>
      </c>
      <c r="AF93" s="107">
        <f t="shared" si="11"/>
        <v>77309.612951141287</v>
      </c>
      <c r="AG93" s="4">
        <v>16</v>
      </c>
      <c r="AH93" s="2">
        <v>0</v>
      </c>
      <c r="AI93" s="2">
        <v>0</v>
      </c>
      <c r="AP93" s="2"/>
    </row>
    <row r="94" spans="1:42" x14ac:dyDescent="0.3">
      <c r="L94" s="112"/>
      <c r="N94" s="106"/>
      <c r="O94" s="106"/>
      <c r="P94" s="106"/>
      <c r="Q94" s="106"/>
      <c r="R94" s="106"/>
      <c r="S94" s="106"/>
      <c r="U94" s="2"/>
      <c r="X94" s="107">
        <f t="shared" si="13"/>
        <v>52006.25</v>
      </c>
      <c r="Y94" s="109">
        <f t="shared" si="4"/>
        <v>20</v>
      </c>
      <c r="Z94" s="108">
        <f t="shared" si="5"/>
        <v>6.32266967769272E-3</v>
      </c>
      <c r="AA94" s="107">
        <f t="shared" si="6"/>
        <v>1582165.5671727296</v>
      </c>
      <c r="AB94" s="107">
        <f t="shared" si="7"/>
        <v>8225362.4894378819</v>
      </c>
      <c r="AC94" s="109">
        <f t="shared" si="8"/>
        <v>0.35116010733398118</v>
      </c>
      <c r="AD94" s="109">
        <f t="shared" si="9"/>
        <v>0.80768455011137974</v>
      </c>
      <c r="AE94" s="28">
        <f t="shared" si="10"/>
        <v>0.60632557201759751</v>
      </c>
      <c r="AF94" s="107">
        <f t="shared" si="11"/>
        <v>85772.81315538942</v>
      </c>
      <c r="AG94" s="4">
        <v>17</v>
      </c>
      <c r="AH94" s="120">
        <f>AI94</f>
        <v>53000</v>
      </c>
      <c r="AI94" s="120">
        <f>X95</f>
        <v>53000</v>
      </c>
      <c r="AP94" s="2"/>
    </row>
    <row r="95" spans="1:42" x14ac:dyDescent="0.3">
      <c r="N95" s="106"/>
      <c r="O95" s="106"/>
      <c r="P95" s="106"/>
      <c r="Q95" s="106"/>
      <c r="R95" s="106"/>
      <c r="S95" s="106"/>
      <c r="U95" s="2"/>
      <c r="X95" s="107">
        <f>MIN(D74:D75)</f>
        <v>53000</v>
      </c>
      <c r="Y95" s="109">
        <f t="shared" si="4"/>
        <v>22.633414379010524</v>
      </c>
      <c r="Z95" s="108">
        <f t="shared" si="5"/>
        <v>7.0476190476190474E-3</v>
      </c>
      <c r="AA95" s="107">
        <f t="shared" si="6"/>
        <v>1053375.3685369645</v>
      </c>
      <c r="AB95" s="107">
        <f t="shared" si="7"/>
        <v>7520270.2702702703</v>
      </c>
      <c r="AC95" s="109">
        <f t="shared" si="8"/>
        <v>0.36391891891891892</v>
      </c>
      <c r="AD95" s="109">
        <f t="shared" si="9"/>
        <v>0.7462141914484649</v>
      </c>
      <c r="AE95" s="28">
        <f t="shared" si="10"/>
        <v>0.54416081391929738</v>
      </c>
      <c r="AF95" s="107">
        <f t="shared" si="11"/>
        <v>97397.678488220306</v>
      </c>
      <c r="AG95" s="4">
        <v>18</v>
      </c>
      <c r="AH95" s="120">
        <f>AF103</f>
        <v>1353831.3127986884</v>
      </c>
      <c r="AI95" s="120">
        <f>AI94</f>
        <v>53000</v>
      </c>
      <c r="AP95" s="2"/>
    </row>
    <row r="96" spans="1:42" s="27" customFormat="1" x14ac:dyDescent="0.3">
      <c r="L96" s="4"/>
      <c r="M96" s="12"/>
      <c r="N96" s="106"/>
      <c r="O96" s="106"/>
      <c r="P96" s="106"/>
      <c r="Q96" s="106"/>
      <c r="R96" s="106"/>
      <c r="S96" s="106"/>
      <c r="T96" s="106"/>
      <c r="V96" s="2"/>
      <c r="W96" s="2"/>
      <c r="X96" s="107">
        <f t="shared" ref="X96:X102" si="14">X95+$W$82</f>
        <v>54250</v>
      </c>
      <c r="Y96" s="109">
        <f t="shared" si="4"/>
        <v>22.633414379010524</v>
      </c>
      <c r="Z96" s="108">
        <f t="shared" si="5"/>
        <v>8.5564177373228436E-3</v>
      </c>
      <c r="AA96" s="107">
        <f t="shared" si="6"/>
        <v>677104.87757776398</v>
      </c>
      <c r="AB96" s="107">
        <f t="shared" si="7"/>
        <v>6340270.153403461</v>
      </c>
      <c r="AC96" s="109">
        <f t="shared" si="8"/>
        <v>0.3852713019860326</v>
      </c>
      <c r="AD96" s="109">
        <f t="shared" si="9"/>
        <v>0.64094464741823365</v>
      </c>
      <c r="AE96" s="28">
        <f t="shared" si="10"/>
        <v>0.45823794535640738</v>
      </c>
      <c r="AF96" s="107">
        <f t="shared" si="11"/>
        <v>118388.27523941857</v>
      </c>
      <c r="AG96" s="4">
        <v>19</v>
      </c>
      <c r="AH96" s="2"/>
      <c r="AI96" s="2"/>
      <c r="AJ96" s="2"/>
    </row>
    <row r="97" spans="1:103" s="27" customFormat="1" x14ac:dyDescent="0.3">
      <c r="L97" s="4"/>
      <c r="M97" s="12"/>
      <c r="N97" s="106"/>
      <c r="O97" s="106"/>
      <c r="P97" s="106"/>
      <c r="Q97" s="106"/>
      <c r="R97" s="106"/>
      <c r="S97" s="106"/>
      <c r="T97" s="106"/>
      <c r="V97" s="2"/>
      <c r="X97" s="107">
        <f t="shared" si="14"/>
        <v>55500</v>
      </c>
      <c r="Y97" s="109">
        <f t="shared" si="4"/>
        <v>22.633414379010524</v>
      </c>
      <c r="Z97" s="108">
        <f t="shared" si="5"/>
        <v>1.0962279358012278E-2</v>
      </c>
      <c r="AA97" s="107">
        <f t="shared" si="6"/>
        <v>433667.01872736146</v>
      </c>
      <c r="AB97" s="107">
        <f t="shared" si="7"/>
        <v>5062815.6962115103</v>
      </c>
      <c r="AC97" s="109">
        <f t="shared" si="8"/>
        <v>0.40838714454474412</v>
      </c>
      <c r="AD97" s="109">
        <f t="shared" si="9"/>
        <v>0.52307450229295072</v>
      </c>
      <c r="AE97" s="28">
        <f t="shared" si="10"/>
        <v>0.36907322488863287</v>
      </c>
      <c r="AF97" s="107">
        <f t="shared" si="11"/>
        <v>150376.66310458316</v>
      </c>
      <c r="AG97" s="4">
        <v>20</v>
      </c>
      <c r="AH97" s="2"/>
      <c r="AI97" s="2"/>
      <c r="AJ97" s="2"/>
    </row>
    <row r="98" spans="1:103" s="27" customFormat="1" x14ac:dyDescent="0.3">
      <c r="L98" s="4"/>
      <c r="M98" s="12"/>
      <c r="N98" s="106"/>
      <c r="O98" s="106"/>
      <c r="P98" s="106"/>
      <c r="Q98" s="106"/>
      <c r="R98" s="106"/>
      <c r="S98" s="106"/>
      <c r="T98" s="106"/>
      <c r="V98" s="2"/>
      <c r="X98" s="107">
        <f t="shared" si="14"/>
        <v>56750</v>
      </c>
      <c r="Y98" s="109">
        <f t="shared" si="4"/>
        <v>22.633414379010524</v>
      </c>
      <c r="Z98" s="108">
        <f t="shared" si="5"/>
        <v>1.4802340878007223E-2</v>
      </c>
      <c r="AA98" s="107">
        <f t="shared" si="6"/>
        <v>278119.41514233232</v>
      </c>
      <c r="AB98" s="107">
        <f t="shared" si="7"/>
        <v>3833853.068761379</v>
      </c>
      <c r="AC98" s="109">
        <f t="shared" si="8"/>
        <v>0.43062551589860365</v>
      </c>
      <c r="AD98" s="109">
        <f t="shared" si="9"/>
        <v>0.40517494751938893</v>
      </c>
      <c r="AE98" s="28">
        <f t="shared" si="10"/>
        <v>0.28348465859019001</v>
      </c>
      <c r="AF98" s="107">
        <f t="shared" si="11"/>
        <v>200187.19983728896</v>
      </c>
      <c r="AG98" s="4">
        <v>21</v>
      </c>
      <c r="AH98" s="2"/>
      <c r="AI98" s="2"/>
      <c r="AJ98" s="2"/>
    </row>
    <row r="99" spans="1:103" s="27" customFormat="1" x14ac:dyDescent="0.3">
      <c r="L99" s="4"/>
      <c r="M99" s="12"/>
      <c r="N99" s="106"/>
      <c r="O99" s="106"/>
      <c r="P99" s="106"/>
      <c r="Q99" s="106"/>
      <c r="R99" s="106"/>
      <c r="S99" s="106"/>
      <c r="T99" s="106"/>
      <c r="V99" s="2"/>
      <c r="X99" s="107">
        <f t="shared" si="14"/>
        <v>58000</v>
      </c>
      <c r="Y99" s="109">
        <f t="shared" si="4"/>
        <v>22.633414379010524</v>
      </c>
      <c r="Z99" s="108">
        <f t="shared" si="5"/>
        <v>2.0911599181507881E-2</v>
      </c>
      <c r="AA99" s="107">
        <f t="shared" si="6"/>
        <v>179135.06161851311</v>
      </c>
      <c r="AB99" s="107">
        <f t="shared" si="7"/>
        <v>2773580.3224121365</v>
      </c>
      <c r="AC99" s="109">
        <f t="shared" si="8"/>
        <v>0.44981140368968514</v>
      </c>
      <c r="AD99" s="109">
        <f t="shared" si="9"/>
        <v>0.29932896141245091</v>
      </c>
      <c r="AE99" s="28">
        <f t="shared" si="10"/>
        <v>0.20833850388551231</v>
      </c>
      <c r="AF99" s="107">
        <f t="shared" si="11"/>
        <v>278393.09065919271</v>
      </c>
      <c r="AG99" s="4">
        <v>22</v>
      </c>
      <c r="AH99" s="2"/>
      <c r="AI99" s="2"/>
      <c r="AJ99" s="2"/>
    </row>
    <row r="100" spans="1:103" s="27" customFormat="1" x14ac:dyDescent="0.3">
      <c r="L100" s="4"/>
      <c r="M100" s="12"/>
      <c r="N100" s="106"/>
      <c r="O100" s="106"/>
      <c r="P100" s="106"/>
      <c r="Q100" s="106"/>
      <c r="R100" s="106"/>
      <c r="S100" s="106"/>
      <c r="T100" s="106"/>
      <c r="V100" s="2"/>
      <c r="X100" s="107">
        <f t="shared" si="14"/>
        <v>59250</v>
      </c>
      <c r="Y100" s="109">
        <f t="shared" si="4"/>
        <v>22.633414379010524</v>
      </c>
      <c r="Z100" s="108">
        <f t="shared" si="5"/>
        <v>3.0575587005517949E-2</v>
      </c>
      <c r="AA100" s="107">
        <f t="shared" si="6"/>
        <v>116078.82863654759</v>
      </c>
      <c r="AB100" s="107">
        <f t="shared" si="7"/>
        <v>1937820.5229324691</v>
      </c>
      <c r="AC100" s="109">
        <f t="shared" si="8"/>
        <v>0.46493467625169815</v>
      </c>
      <c r="AD100" s="109">
        <f t="shared" si="9"/>
        <v>0.21282349593165062</v>
      </c>
      <c r="AE100" s="28">
        <f t="shared" si="10"/>
        <v>0.14766921957085644</v>
      </c>
      <c r="AF100" s="107">
        <f t="shared" si="11"/>
        <v>401234.59832852945</v>
      </c>
      <c r="AG100" s="4">
        <v>23</v>
      </c>
      <c r="AH100" s="2"/>
      <c r="AI100" s="2"/>
      <c r="AJ100" s="2"/>
    </row>
    <row r="101" spans="1:103" s="27" customFormat="1" x14ac:dyDescent="0.3">
      <c r="L101" s="4"/>
      <c r="M101" s="12"/>
      <c r="N101" s="106"/>
      <c r="O101" s="106"/>
      <c r="P101" s="106"/>
      <c r="Q101" s="106"/>
      <c r="R101" s="106"/>
      <c r="S101" s="106"/>
      <c r="T101" s="106"/>
      <c r="V101" s="2"/>
      <c r="X101" s="107">
        <f t="shared" si="14"/>
        <v>60500</v>
      </c>
      <c r="Y101" s="109">
        <f t="shared" si="4"/>
        <v>22.633414379010524</v>
      </c>
      <c r="Z101" s="108">
        <f t="shared" si="5"/>
        <v>4.575522418232942E-2</v>
      </c>
      <c r="AA101" s="107">
        <f t="shared" si="6"/>
        <v>75744.846042674952</v>
      </c>
      <c r="AB101" s="107">
        <f t="shared" si="7"/>
        <v>1322253.3837647545</v>
      </c>
      <c r="AC101" s="109">
        <f t="shared" si="8"/>
        <v>0.47607351019854255</v>
      </c>
      <c r="AD101" s="109">
        <f t="shared" si="9"/>
        <v>0.14718631456133477</v>
      </c>
      <c r="AE101" s="28">
        <f t="shared" si="10"/>
        <v>0.10194784852510275</v>
      </c>
      <c r="AF101" s="107">
        <f t="shared" si="11"/>
        <v>593440.6745729706</v>
      </c>
      <c r="AG101" s="4">
        <v>24</v>
      </c>
      <c r="AJ101" s="2"/>
    </row>
    <row r="102" spans="1:103" s="27" customFormat="1" x14ac:dyDescent="0.3">
      <c r="L102" s="4"/>
      <c r="M102" s="12"/>
      <c r="N102" s="106"/>
      <c r="O102" s="106"/>
      <c r="P102" s="106"/>
      <c r="Q102" s="106"/>
      <c r="R102" s="106"/>
      <c r="S102" s="106"/>
      <c r="T102" s="106"/>
      <c r="V102" s="2"/>
      <c r="X102" s="107">
        <f t="shared" si="14"/>
        <v>61750</v>
      </c>
      <c r="Y102" s="109">
        <f t="shared" si="4"/>
        <v>22.633414379010524</v>
      </c>
      <c r="Z102" s="108">
        <f t="shared" si="5"/>
        <v>6.9415230095036917E-2</v>
      </c>
      <c r="AA102" s="107">
        <f t="shared" si="6"/>
        <v>49793.819713597273</v>
      </c>
      <c r="AB102" s="107">
        <f t="shared" si="7"/>
        <v>889574.23198709579</v>
      </c>
      <c r="AC102" s="109">
        <f t="shared" si="8"/>
        <v>0.48390294246880494</v>
      </c>
      <c r="AD102" s="109">
        <f t="shared" si="9"/>
        <v>9.9994566662215692E-2</v>
      </c>
      <c r="AE102" s="28">
        <f t="shared" si="10"/>
        <v>6.9199878708882487E-2</v>
      </c>
      <c r="AF102" s="107">
        <f t="shared" si="11"/>
        <v>892342.60452646972</v>
      </c>
      <c r="AG102" s="4">
        <v>25</v>
      </c>
      <c r="AJ102" s="2"/>
    </row>
    <row r="103" spans="1:103" s="27" customFormat="1" x14ac:dyDescent="0.3">
      <c r="L103" s="4"/>
      <c r="M103" s="12"/>
      <c r="N103" s="106"/>
      <c r="O103" s="106"/>
      <c r="P103" s="106"/>
      <c r="Q103" s="106"/>
      <c r="R103" s="106"/>
      <c r="S103" s="106"/>
      <c r="T103" s="106"/>
      <c r="V103" s="2"/>
      <c r="X103" s="107">
        <f>MIN(D70:D71)</f>
        <v>63000</v>
      </c>
      <c r="Y103" s="109">
        <f t="shared" si="4"/>
        <v>22.633414379010524</v>
      </c>
      <c r="Z103" s="108">
        <f t="shared" si="5"/>
        <v>0.106</v>
      </c>
      <c r="AA103" s="107">
        <f t="shared" si="6"/>
        <v>32982.896304122522</v>
      </c>
      <c r="AB103" s="107">
        <f t="shared" si="7"/>
        <v>594339.6226415094</v>
      </c>
      <c r="AC103" s="109">
        <f t="shared" si="8"/>
        <v>0.48924528301886794</v>
      </c>
      <c r="AD103" s="109">
        <f t="shared" si="9"/>
        <v>6.7264691102378676E-2</v>
      </c>
      <c r="AE103" s="28">
        <f t="shared" si="10"/>
        <v>4.6534601027778087E-2</v>
      </c>
      <c r="AF103" s="107">
        <f t="shared" si="11"/>
        <v>1353831.3127986884</v>
      </c>
      <c r="AG103" s="4">
        <v>26</v>
      </c>
      <c r="AJ103" s="2"/>
    </row>
    <row r="104" spans="1:103" s="27" customFormat="1" x14ac:dyDescent="0.3">
      <c r="L104" s="4"/>
      <c r="M104" s="12"/>
      <c r="N104" s="106"/>
      <c r="O104" s="106"/>
      <c r="P104" s="106"/>
      <c r="Q104" s="106"/>
      <c r="R104" s="106"/>
      <c r="S104" s="106"/>
      <c r="T104" s="106"/>
      <c r="V104" s="2"/>
      <c r="AB104" s="2"/>
      <c r="AC104" s="21"/>
      <c r="AG104" s="4"/>
    </row>
    <row r="105" spans="1:103" s="27" customFormat="1" x14ac:dyDescent="0.3">
      <c r="L105" s="4"/>
      <c r="M105" s="12"/>
      <c r="N105" s="106"/>
      <c r="O105" s="106"/>
      <c r="P105" s="106"/>
      <c r="Q105" s="106"/>
      <c r="R105" s="106"/>
      <c r="S105" s="106"/>
      <c r="T105" s="106"/>
      <c r="V105" s="2"/>
      <c r="AG105" s="4"/>
    </row>
    <row r="106" spans="1:103" s="27" customFormat="1" x14ac:dyDescent="0.3">
      <c r="A106" s="82"/>
      <c r="B106" s="81" t="s">
        <v>119</v>
      </c>
      <c r="C106" s="82"/>
      <c r="D106" s="90"/>
      <c r="E106" s="82"/>
      <c r="F106" s="82"/>
      <c r="G106" s="43"/>
      <c r="H106" s="43"/>
      <c r="I106" s="43"/>
      <c r="J106" s="82"/>
      <c r="K106" s="82"/>
      <c r="L106" s="4"/>
      <c r="M106" s="12"/>
      <c r="N106" s="106"/>
      <c r="O106" s="106"/>
      <c r="P106" s="106"/>
      <c r="Q106" s="106"/>
      <c r="R106" s="106"/>
      <c r="S106" s="106"/>
      <c r="T106" s="106"/>
      <c r="V106" s="2"/>
      <c r="AG106" s="4"/>
    </row>
    <row r="107" spans="1:103" s="27" customFormat="1" ht="15" x14ac:dyDescent="0.35">
      <c r="A107" s="82"/>
      <c r="B107" s="83"/>
      <c r="C107" s="14" t="s">
        <v>58</v>
      </c>
      <c r="D107" s="127">
        <f>AI84</f>
        <v>32052.242632594003</v>
      </c>
      <c r="E107" s="82"/>
      <c r="F107" s="82"/>
      <c r="G107" s="43"/>
      <c r="H107" s="43"/>
      <c r="I107" s="43"/>
      <c r="J107" s="82"/>
      <c r="K107" s="82"/>
      <c r="L107" s="4"/>
      <c r="M107" s="12"/>
      <c r="N107" s="106"/>
      <c r="O107" s="106"/>
      <c r="P107" s="106"/>
      <c r="Q107" s="106"/>
      <c r="R107" s="106"/>
      <c r="S107" s="106"/>
      <c r="T107" s="106"/>
      <c r="V107" s="2"/>
      <c r="AG107" s="4"/>
    </row>
    <row r="108" spans="1:103" s="27" customFormat="1" x14ac:dyDescent="0.3">
      <c r="A108" s="82"/>
      <c r="B108" s="83"/>
      <c r="C108" s="43"/>
      <c r="D108" s="43"/>
      <c r="E108" s="43"/>
      <c r="F108" s="82"/>
      <c r="G108" s="43"/>
      <c r="H108" s="43"/>
      <c r="I108" s="1"/>
      <c r="J108" s="34" t="str">
        <f>"M.S. = "&amp;[1]!xln(K108)&amp;" ="</f>
        <v>M.S. = 32052 / 3500 - 1 =</v>
      </c>
      <c r="K108" s="25">
        <f>D107/G19-1</f>
        <v>8.1577836093125722</v>
      </c>
      <c r="L108" s="4"/>
      <c r="M108" s="12"/>
      <c r="N108" s="106"/>
      <c r="O108" s="106"/>
      <c r="P108" s="106"/>
      <c r="Q108" s="106"/>
      <c r="R108" s="106"/>
      <c r="S108" s="106"/>
      <c r="T108" s="106"/>
      <c r="V108" s="2"/>
      <c r="AK108" s="21"/>
    </row>
    <row r="109" spans="1:103" s="27" customFormat="1" x14ac:dyDescent="0.3">
      <c r="L109" s="4"/>
      <c r="M109" s="12"/>
      <c r="N109" s="106"/>
      <c r="O109" s="106"/>
      <c r="P109" s="106"/>
      <c r="Q109" s="106"/>
      <c r="R109" s="106"/>
      <c r="S109" s="106"/>
      <c r="T109" s="106"/>
      <c r="V109" s="2"/>
      <c r="AB109" s="2"/>
      <c r="AC109" s="21"/>
      <c r="AK109" s="21"/>
    </row>
    <row r="110" spans="1:103" s="27" customFormat="1" x14ac:dyDescent="0.3">
      <c r="L110" s="4"/>
      <c r="M110" s="12"/>
      <c r="N110" s="106"/>
      <c r="O110" s="106"/>
      <c r="P110" s="106"/>
      <c r="Q110" s="106"/>
      <c r="R110" s="106"/>
      <c r="S110" s="106"/>
      <c r="T110" s="106"/>
      <c r="U110" s="26"/>
      <c r="V110" s="11"/>
      <c r="AB110" s="2"/>
      <c r="AC110" s="21"/>
      <c r="AK110" s="110"/>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42</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109</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5">
    <mergeCell ref="G74:J75"/>
    <mergeCell ref="B79:J80"/>
    <mergeCell ref="AD73:AE73"/>
    <mergeCell ref="AD74:AE74"/>
    <mergeCell ref="AD75:AE75"/>
  </mergeCells>
  <hyperlinks>
    <hyperlink ref="F60" r:id="rId1"/>
    <hyperlink ref="F113" r:id="rId2"/>
    <hyperlink ref="B13" r:id="rId3"/>
    <hyperlink ref="B66" r:id="rId4"/>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4625" r:id="rId8">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5" r:id="rId8"/>
      </mc:Fallback>
    </mc:AlternateContent>
    <mc:AlternateContent xmlns:mc="http://schemas.openxmlformats.org/markup-compatibility/2006">
      <mc:Choice Requires="x14">
        <oleObject progId="Equation.3" shapeId="154626" r:id="rId10">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0"/>
      </mc:Fallback>
    </mc:AlternateContent>
    <mc:AlternateContent xmlns:mc="http://schemas.openxmlformats.org/markup-compatibility/2006">
      <mc:Choice Requires="x14">
        <oleObject progId="Equation.3" shapeId="154628" r:id="rId11">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8" r:id="rId11"/>
      </mc:Fallback>
    </mc:AlternateContent>
    <mc:AlternateContent xmlns:mc="http://schemas.openxmlformats.org/markup-compatibility/2006">
      <mc:Choice Requires="x14">
        <oleObject progId="Equation.3" shapeId="154629" r:id="rId12">
          <objectPr defaultSize="0" r:id="rId9">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 (2)</vt:lpstr>
      <vt:lpstr>'Flat Plates (2)'!Print_Area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2016-06-13T02:56:08Z</dcterms:modified>
  <cp:category>Engineering Spreadsheets;Analysis;AA-SM</cp:category>
  <cp:contentStatus>Released</cp:contentStatus>
</cp:coreProperties>
</file>