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0" yWindow="36" windowWidth="15168" windowHeight="12060" tabRatio="728" activeTab="1"/>
  </bookViews>
  <sheets>
    <sheet name="READ ME" sheetId="17" r:id="rId1"/>
    <sheet name="SIMPLE" sheetId="16" r:id="rId2"/>
  </sheets>
  <externalReferences>
    <externalReference r:id="rId3"/>
  </externalReferences>
  <definedNames>
    <definedName name="_xlnm.Print_Area" localSheetId="0">'READ ME'!$A$8:$K$62</definedName>
    <definedName name="_xlnm.Print_Area" localSheetId="1">SIMPLE!$A$8:$K$113</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AD79" i="16" l="1"/>
  <c r="AE79" i="16"/>
  <c r="AD80" i="16"/>
  <c r="AE80" i="16"/>
  <c r="AD81" i="16"/>
  <c r="AE81" i="16"/>
  <c r="AD82" i="16"/>
  <c r="AE82" i="16"/>
  <c r="AD83" i="16"/>
  <c r="AE83" i="16"/>
  <c r="AD84" i="16"/>
  <c r="AE84" i="16"/>
  <c r="AD85" i="16"/>
  <c r="AE85" i="16"/>
  <c r="AD86" i="16"/>
  <c r="AE86" i="16"/>
  <c r="AD87" i="16"/>
  <c r="AE87" i="16"/>
  <c r="AD88" i="16"/>
  <c r="AE88" i="16"/>
  <c r="AD89" i="16"/>
  <c r="AE89" i="16"/>
  <c r="AD90" i="16"/>
  <c r="AE90" i="16"/>
  <c r="AD91" i="16"/>
  <c r="AE91" i="16"/>
  <c r="AD92" i="16"/>
  <c r="AE92" i="16"/>
  <c r="AD93" i="16"/>
  <c r="AE93" i="16"/>
  <c r="AD94" i="16"/>
  <c r="AE94" i="16"/>
  <c r="AD95" i="16"/>
  <c r="AE95" i="16"/>
  <c r="AD96" i="16"/>
  <c r="AE96" i="16"/>
  <c r="AD97" i="16"/>
  <c r="AE97" i="16"/>
  <c r="AD98" i="16"/>
  <c r="AE98" i="16"/>
  <c r="AD99" i="16"/>
  <c r="AE99" i="16"/>
  <c r="AD100" i="16"/>
  <c r="AE100" i="16"/>
  <c r="AD101" i="16"/>
  <c r="AE101" i="16"/>
  <c r="AD102" i="16"/>
  <c r="AE102" i="16"/>
  <c r="AD103" i="16"/>
  <c r="AE103" i="16"/>
  <c r="AE78" i="16"/>
  <c r="AD78" i="16"/>
  <c r="AB100" i="16" l="1"/>
  <c r="AB101" i="16"/>
  <c r="AC101" i="16" s="1"/>
  <c r="AB102" i="16"/>
  <c r="AB103" i="16"/>
  <c r="AA80" i="16"/>
  <c r="AA81" i="16"/>
  <c r="AA82" i="16"/>
  <c r="AA83" i="16"/>
  <c r="AA84" i="16"/>
  <c r="AA85" i="16"/>
  <c r="AA86" i="16"/>
  <c r="AA87" i="16"/>
  <c r="AA88" i="16"/>
  <c r="AA89" i="16"/>
  <c r="AA90" i="16"/>
  <c r="AA91" i="16"/>
  <c r="AA92" i="16"/>
  <c r="AA93" i="16"/>
  <c r="AA94" i="16"/>
  <c r="AA95" i="16"/>
  <c r="AA96" i="16"/>
  <c r="AA97" i="16"/>
  <c r="AA98" i="16"/>
  <c r="AA99" i="16"/>
  <c r="AA100" i="16"/>
  <c r="AA101" i="16"/>
  <c r="AA102" i="16"/>
  <c r="AA103" i="16"/>
  <c r="AA79" i="16"/>
  <c r="AB80" i="16"/>
  <c r="AC80" i="16" s="1"/>
  <c r="AB81" i="16"/>
  <c r="AC81" i="16" s="1"/>
  <c r="AB82" i="16"/>
  <c r="AB83" i="16"/>
  <c r="AB84" i="16"/>
  <c r="AC84" i="16" s="1"/>
  <c r="AB85" i="16"/>
  <c r="AC85" i="16" s="1"/>
  <c r="AB86" i="16"/>
  <c r="AB87" i="16"/>
  <c r="AC87" i="16" s="1"/>
  <c r="AB88" i="16"/>
  <c r="AC88" i="16" s="1"/>
  <c r="AB89" i="16"/>
  <c r="AC89" i="16" s="1"/>
  <c r="AB90" i="16"/>
  <c r="AB91" i="16"/>
  <c r="AB92" i="16"/>
  <c r="AC92" i="16" s="1"/>
  <c r="AB93" i="16"/>
  <c r="AC93" i="16" s="1"/>
  <c r="AB94" i="16"/>
  <c r="AB95" i="16"/>
  <c r="AC95" i="16" s="1"/>
  <c r="AB96" i="16"/>
  <c r="AC96" i="16" s="1"/>
  <c r="AB97" i="16"/>
  <c r="AC97" i="16" s="1"/>
  <c r="AB98" i="16"/>
  <c r="AB99" i="16"/>
  <c r="AB79" i="16"/>
  <c r="AC79" i="16" s="1"/>
  <c r="AB78" i="16"/>
  <c r="AC78" i="16" s="1"/>
  <c r="AC82" i="16"/>
  <c r="AC83" i="16"/>
  <c r="AC86" i="16"/>
  <c r="AC90" i="16"/>
  <c r="AC91" i="16"/>
  <c r="AC94" i="16"/>
  <c r="AC98" i="16"/>
  <c r="AC99" i="16"/>
  <c r="AC100" i="16"/>
  <c r="AC102" i="16"/>
  <c r="AC103" i="16"/>
  <c r="X103" i="16"/>
  <c r="X95" i="16"/>
  <c r="AI94" i="16" s="1"/>
  <c r="W80" i="16"/>
  <c r="X80" i="16" s="1"/>
  <c r="Y79" i="16"/>
  <c r="X79" i="16"/>
  <c r="Z79" i="16" s="1"/>
  <c r="Y78" i="16"/>
  <c r="Z78" i="16" s="1"/>
  <c r="G69" i="16"/>
  <c r="B65" i="16"/>
  <c r="F64" i="16"/>
  <c r="L63" i="16"/>
  <c r="F63" i="16"/>
  <c r="J62" i="16"/>
  <c r="F62" i="16"/>
  <c r="J61" i="16"/>
  <c r="F61" i="16"/>
  <c r="AA78" i="16" l="1"/>
  <c r="AF78" i="16"/>
  <c r="AI95" i="16"/>
  <c r="AH94" i="16"/>
  <c r="X81" i="16"/>
  <c r="Y80" i="16"/>
  <c r="AF79" i="16"/>
  <c r="Y95" i="16"/>
  <c r="Y103" i="16"/>
  <c r="AJ78" i="16"/>
  <c r="W82" i="16"/>
  <c r="X96" i="16" s="1"/>
  <c r="X97" i="16" l="1"/>
  <c r="Y96" i="16"/>
  <c r="Z96" i="16" s="1"/>
  <c r="Z95" i="16"/>
  <c r="Y81" i="16"/>
  <c r="X82" i="16"/>
  <c r="Z80" i="16"/>
  <c r="Z103" i="16"/>
  <c r="AJ79" i="16"/>
  <c r="AF80" i="16" l="1"/>
  <c r="Y82" i="16"/>
  <c r="X83" i="16"/>
  <c r="Z82" i="16"/>
  <c r="AF103" i="16"/>
  <c r="AH95" i="16" s="1"/>
  <c r="Z81" i="16"/>
  <c r="X98" i="16"/>
  <c r="Y97" i="16"/>
  <c r="Z97" i="16" s="1"/>
  <c r="AJ80" i="16" l="1"/>
  <c r="AJ103" i="16"/>
  <c r="AF95" i="16"/>
  <c r="X84" i="16"/>
  <c r="Y83" i="16"/>
  <c r="AF81" i="16"/>
  <c r="X99" i="16"/>
  <c r="Y98" i="16"/>
  <c r="Z98" i="16" s="1"/>
  <c r="AJ81" i="16" l="1"/>
  <c r="AF82" i="16"/>
  <c r="Z83" i="16"/>
  <c r="X85" i="16"/>
  <c r="Z84" i="16"/>
  <c r="Y84" i="16"/>
  <c r="AF96" i="16"/>
  <c r="X100" i="16"/>
  <c r="Y99" i="16"/>
  <c r="Z99" i="16" s="1"/>
  <c r="AF83" i="16"/>
  <c r="AF98" i="16"/>
  <c r="AJ95" i="16"/>
  <c r="AF84" i="16" l="1"/>
  <c r="AJ98" i="16"/>
  <c r="X101" i="16"/>
  <c r="Z100" i="16"/>
  <c r="Y100" i="16"/>
  <c r="AJ83" i="16"/>
  <c r="AF97" i="16"/>
  <c r="X86" i="16"/>
  <c r="Y85" i="16"/>
  <c r="AJ82" i="16"/>
  <c r="AJ96" i="16"/>
  <c r="AF100" i="16" l="1"/>
  <c r="X102" i="16"/>
  <c r="Y101" i="16"/>
  <c r="Z101" i="16" s="1"/>
  <c r="AF99" i="16"/>
  <c r="AJ97" i="16"/>
  <c r="AJ84" i="16"/>
  <c r="Z85" i="16"/>
  <c r="X87" i="16"/>
  <c r="Y86" i="16"/>
  <c r="AF85" i="16" l="1"/>
  <c r="AJ99" i="16"/>
  <c r="Z86" i="16"/>
  <c r="X88" i="16"/>
  <c r="Y87" i="16"/>
  <c r="AJ100" i="16"/>
  <c r="Y102" i="16"/>
  <c r="AF87" i="16" l="1"/>
  <c r="AF101" i="16"/>
  <c r="Z102" i="16"/>
  <c r="AJ85" i="16"/>
  <c r="Z87" i="16"/>
  <c r="Y88" i="16"/>
  <c r="X89" i="16"/>
  <c r="Z88" i="16"/>
  <c r="AF86" i="16"/>
  <c r="AJ87" i="16" l="1"/>
  <c r="AJ101" i="16"/>
  <c r="AF88" i="16"/>
  <c r="AJ86" i="16"/>
  <c r="AF102" i="16"/>
  <c r="X90" i="16"/>
  <c r="Y89" i="16"/>
  <c r="X91" i="16" l="1"/>
  <c r="Y90" i="16"/>
  <c r="Z90" i="16" s="1"/>
  <c r="AJ102" i="16"/>
  <c r="Z89" i="16"/>
  <c r="AJ88" i="16"/>
  <c r="AF90" i="16" l="1"/>
  <c r="AF89" i="16"/>
  <c r="X92" i="16"/>
  <c r="Y91" i="16"/>
  <c r="Z91" i="16" s="1"/>
  <c r="AF91" i="16" l="1"/>
  <c r="AJ90" i="16"/>
  <c r="X93" i="16"/>
  <c r="Y92" i="16"/>
  <c r="Z92" i="16" s="1"/>
  <c r="AJ89" i="16"/>
  <c r="X94" i="16" l="1"/>
  <c r="Y93" i="16"/>
  <c r="AF92" i="16"/>
  <c r="AJ91" i="16"/>
  <c r="AJ92" i="16" l="1"/>
  <c r="AF93" i="16"/>
  <c r="Z93" i="16"/>
  <c r="Z94" i="16"/>
  <c r="Y94" i="16"/>
  <c r="AF94" i="16" l="1"/>
  <c r="AJ93" i="16"/>
  <c r="AJ94" i="16" l="1"/>
  <c r="Z14" i="16" l="1"/>
  <c r="Z15" i="16"/>
  <c r="Z16" i="16"/>
  <c r="Z17" i="16"/>
  <c r="Z18" i="16"/>
  <c r="Z19" i="16"/>
  <c r="Z20" i="16"/>
  <c r="Z21" i="16"/>
  <c r="Z22" i="16"/>
  <c r="Z23" i="16"/>
  <c r="Z24" i="16"/>
  <c r="Z25" i="16"/>
  <c r="Z26" i="16"/>
  <c r="Z27" i="16"/>
  <c r="Z28" i="16"/>
  <c r="Z29" i="16"/>
  <c r="Z30" i="16"/>
  <c r="Z31" i="16"/>
  <c r="Z32" i="16"/>
  <c r="Z33" i="16"/>
  <c r="Z34" i="16"/>
  <c r="Z39" i="16"/>
  <c r="Z40" i="16"/>
  <c r="Z41" i="16"/>
  <c r="Z42" i="16"/>
  <c r="Z43" i="16"/>
  <c r="Z44" i="16"/>
  <c r="Z45" i="16"/>
  <c r="Z46" i="16"/>
  <c r="Z47" i="16"/>
  <c r="Z48" i="16"/>
  <c r="Z49" i="16"/>
  <c r="Z50" i="16"/>
  <c r="Z51" i="16"/>
  <c r="Z52" i="16"/>
  <c r="Z53" i="16"/>
  <c r="Z54" i="16"/>
  <c r="Z55" i="16"/>
  <c r="Z56" i="16"/>
  <c r="Z57" i="16"/>
  <c r="Z58" i="16"/>
  <c r="Z13" i="16"/>
  <c r="C12" i="17" l="1"/>
  <c r="G23" i="16" l="1"/>
  <c r="I43" i="16" s="1"/>
  <c r="AE24" i="16"/>
  <c r="AF24" i="16"/>
  <c r="AE25" i="16"/>
  <c r="AF25" i="16"/>
  <c r="AE26" i="16"/>
  <c r="AF26" i="16"/>
  <c r="AE27" i="16"/>
  <c r="AF27" i="16"/>
  <c r="AE28" i="16"/>
  <c r="AF28" i="16"/>
  <c r="AE29" i="16"/>
  <c r="AF29" i="16"/>
  <c r="AE30" i="16"/>
  <c r="AF30" i="16"/>
  <c r="AE31" i="16"/>
  <c r="AF31" i="16"/>
  <c r="AE32" i="16"/>
  <c r="AF32" i="16"/>
  <c r="AE33" i="16"/>
  <c r="AF33" i="16"/>
  <c r="AE34" i="16"/>
  <c r="AF34" i="16"/>
  <c r="AE35" i="16"/>
  <c r="AF35" i="16"/>
  <c r="AE36" i="16"/>
  <c r="AF36" i="16"/>
  <c r="AE37" i="16"/>
  <c r="AF37" i="16"/>
  <c r="AE38" i="16"/>
  <c r="AF38" i="16"/>
  <c r="AE39" i="16"/>
  <c r="AF39" i="16"/>
  <c r="AE40" i="16"/>
  <c r="AF40" i="16"/>
  <c r="AE41" i="16"/>
  <c r="AF41" i="16"/>
  <c r="I42" i="16"/>
  <c r="G22" i="16"/>
  <c r="AH24" i="16" l="1"/>
  <c r="AJ24" i="16" s="1"/>
  <c r="AI28" i="16"/>
  <c r="AI29" i="16" s="1"/>
  <c r="X1" i="16"/>
  <c r="G1" i="16" s="1"/>
  <c r="J63" i="16" s="1"/>
  <c r="X2" i="16"/>
  <c r="X3" i="16"/>
  <c r="X4" i="16"/>
  <c r="X5" i="16"/>
  <c r="X6" i="16"/>
  <c r="X7" i="16"/>
  <c r="F8" i="16"/>
  <c r="J8" i="16"/>
  <c r="F9" i="16"/>
  <c r="J9" i="16"/>
  <c r="F10" i="16"/>
  <c r="L10" i="16"/>
  <c r="F11" i="16"/>
  <c r="B12" i="16"/>
  <c r="G24" i="16"/>
  <c r="AB14" i="16" s="1"/>
  <c r="AC14" i="16" s="1"/>
  <c r="X27" i="16"/>
  <c r="X39" i="16"/>
  <c r="J10" i="16" l="1"/>
  <c r="AH25" i="16"/>
  <c r="AI25" i="16" s="1"/>
  <c r="AI24" i="16"/>
  <c r="X33" i="16"/>
  <c r="X44" i="16"/>
  <c r="Z35" i="16"/>
  <c r="AB13" i="16"/>
  <c r="AJ25" i="16" l="1"/>
  <c r="AJ29" i="16" s="1"/>
  <c r="AJ30" i="16" s="1"/>
  <c r="I45" i="16" s="1"/>
  <c r="AC15" i="16"/>
  <c r="I28" i="16"/>
  <c r="Z36" i="16"/>
  <c r="I48" i="16" l="1"/>
  <c r="Z37" i="16"/>
  <c r="I47" i="16"/>
  <c r="C57" i="16" l="1"/>
  <c r="AH75" i="16" s="1"/>
  <c r="Z38" i="16"/>
  <c r="C56" i="16"/>
  <c r="C55" i="16"/>
  <c r="AH88" i="16" l="1"/>
  <c r="AH87" i="16"/>
  <c r="AH79" i="16"/>
  <c r="K58" i="16"/>
  <c r="J58" i="16"/>
  <c r="AI79" i="16" l="1"/>
  <c r="AH81" i="16"/>
  <c r="AH80" i="16"/>
  <c r="AI81" i="16" l="1"/>
  <c r="AI80" i="16"/>
  <c r="AI84" i="16" l="1"/>
  <c r="D107" i="16" l="1"/>
  <c r="K108" i="16" s="1"/>
  <c r="AI88" i="16"/>
  <c r="AI89" i="16"/>
  <c r="J108" i="16"/>
</calcChain>
</file>

<file path=xl/comments1.xml><?xml version="1.0" encoding="utf-8"?>
<comments xmlns="http://schemas.openxmlformats.org/spreadsheetml/2006/main">
  <authors>
    <author>R Abbott</author>
  </authors>
  <commentList>
    <comment ref="X79" authorId="0" shapeId="0">
      <text>
        <r>
          <rPr>
            <b/>
            <sz val="8"/>
            <color indexed="81"/>
            <rFont val="Tahoma"/>
            <family val="2"/>
          </rPr>
          <t>R Abbott:</t>
        </r>
        <r>
          <rPr>
            <sz val="8"/>
            <color indexed="81"/>
            <rFont val="Tahoma"/>
            <family val="2"/>
          </rPr>
          <t xml:space="preserve">
0.7 * Fcy</t>
        </r>
      </text>
    </comment>
    <comment ref="X95" authorId="0" shapeId="0">
      <text>
        <r>
          <rPr>
            <b/>
            <sz val="8"/>
            <color indexed="81"/>
            <rFont val="Tahoma"/>
            <family val="2"/>
          </rPr>
          <t>R Abbott:</t>
        </r>
        <r>
          <rPr>
            <sz val="8"/>
            <color indexed="81"/>
            <rFont val="Tahoma"/>
            <family val="2"/>
          </rPr>
          <t xml:space="preserve">
Fcy</t>
        </r>
      </text>
    </comment>
    <comment ref="X103" authorId="0" shapeId="0">
      <text>
        <r>
          <rPr>
            <b/>
            <sz val="8"/>
            <color indexed="81"/>
            <rFont val="Tahoma"/>
            <family val="2"/>
          </rPr>
          <t>R Abbott:</t>
        </r>
        <r>
          <rPr>
            <sz val="8"/>
            <color indexed="81"/>
            <rFont val="Tahoma"/>
            <family val="2"/>
          </rPr>
          <t xml:space="preserve">
Fcu = Ftu</t>
        </r>
      </text>
    </comment>
  </commentList>
</comments>
</file>

<file path=xl/sharedStrings.xml><?xml version="1.0" encoding="utf-8"?>
<sst xmlns="http://schemas.openxmlformats.org/spreadsheetml/2006/main" count="176" uniqueCount="119">
  <si>
    <t>Date:</t>
  </si>
  <si>
    <t>Revision:</t>
  </si>
  <si>
    <t>b =</t>
  </si>
  <si>
    <t>Aspect Ratio</t>
  </si>
  <si>
    <t>R. Abbott</t>
  </si>
  <si>
    <t>=</t>
  </si>
  <si>
    <t>Author:</t>
  </si>
  <si>
    <t>Check:</t>
  </si>
  <si>
    <t xml:space="preserve"> </t>
  </si>
  <si>
    <t>Report:</t>
  </si>
  <si>
    <t>Section:</t>
  </si>
  <si>
    <t>Document Number:</t>
  </si>
  <si>
    <t>Revision Level :</t>
  </si>
  <si>
    <t>Page:</t>
  </si>
  <si>
    <t>νₑ =</t>
  </si>
  <si>
    <t>a =</t>
  </si>
  <si>
    <t>E =</t>
  </si>
  <si>
    <r>
      <t>f</t>
    </r>
    <r>
      <rPr>
        <vertAlign val="subscript"/>
        <sz val="10"/>
        <rFont val="Calibri"/>
        <family val="2"/>
      </rPr>
      <t>S</t>
    </r>
    <r>
      <rPr>
        <sz val="10"/>
        <rFont val="Calibri"/>
        <family val="2"/>
      </rPr>
      <t xml:space="preserve"> =</t>
    </r>
  </si>
  <si>
    <t>t =</t>
  </si>
  <si>
    <t>Total Report Pages:</t>
  </si>
  <si>
    <t>20/10/2013</t>
  </si>
  <si>
    <t>IR</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</si>
  <si>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</si>
  <si>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</si>
  <si>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</si>
  <si>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</si>
  <si>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</si>
  <si>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</si>
  <si>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</si>
  <si>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</si>
  <si>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</si>
  <si>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</si>
  <si>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</si>
  <si>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</si>
  <si>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</si>
  <si>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</si>
  <si>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</si>
  <si>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</si>
  <si>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</si>
  <si>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</si>
  <si>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</si>
  <si>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</si>
  <si>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</si>
  <si>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</si>
  <si>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</si>
  <si>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</si>
  <si>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</si>
  <si>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</si>
  <si>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</si>
  <si>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</si>
  <si>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</si>
  <si>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</si>
  <si>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</si>
  <si>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</si>
  <si>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</si>
  <si>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</si>
  <si>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in</t>
  </si>
  <si>
    <t>psi</t>
  </si>
  <si>
    <t>a/b =</t>
  </si>
  <si>
    <r>
      <t>F</t>
    </r>
    <r>
      <rPr>
        <vertAlign val="subscript"/>
        <sz val="10"/>
        <rFont val="Calibri"/>
        <family val="2"/>
      </rPr>
      <t>cr</t>
    </r>
    <r>
      <rPr>
        <sz val="10"/>
        <rFont val="Calibri"/>
        <family val="2"/>
      </rPr>
      <t xml:space="preserve"> =</t>
    </r>
  </si>
  <si>
    <t>in (Loaded Edge)</t>
  </si>
  <si>
    <t>S₀ =</t>
  </si>
  <si>
    <t>D =</t>
  </si>
  <si>
    <t>inlb</t>
  </si>
  <si>
    <t>ϵ =</t>
  </si>
  <si>
    <r>
      <t>k</t>
    </r>
    <r>
      <rPr>
        <vertAlign val="subscript"/>
        <sz val="10"/>
        <rFont val="Calibri"/>
        <family val="2"/>
        <scheme val="minor"/>
      </rPr>
      <t>m</t>
    </r>
    <r>
      <rPr>
        <sz val="10"/>
        <rFont val="Calibri"/>
        <family val="2"/>
        <scheme val="minor"/>
      </rPr>
      <t xml:space="preserve"> =</t>
    </r>
  </si>
  <si>
    <r>
      <t>k</t>
    </r>
    <r>
      <rPr>
        <vertAlign val="subscript"/>
        <sz val="10"/>
        <rFont val="Calibri"/>
        <family val="2"/>
        <scheme val="minor"/>
      </rPr>
      <t>ss</t>
    </r>
    <r>
      <rPr>
        <sz val="10"/>
        <rFont val="Calibri"/>
        <family val="2"/>
      </rPr>
      <t xml:space="preserve"> =</t>
    </r>
  </si>
  <si>
    <t>k =</t>
  </si>
  <si>
    <t>www.xl-viking.com</t>
  </si>
  <si>
    <t>http://www.abbottaerospace.com/subscribe</t>
  </si>
  <si>
    <t>http://www.xl-viking.com/download-free-trial/</t>
  </si>
  <si>
    <t>http://www.abbottaerospace.com/engineering-services</t>
  </si>
  <si>
    <t>AA-SM-007-043</t>
  </si>
  <si>
    <t>Elongation</t>
  </si>
  <si>
    <r>
      <t>F</t>
    </r>
    <r>
      <rPr>
        <vertAlign val="subscript"/>
        <sz val="10"/>
        <rFont val="Calibri"/>
        <family val="2"/>
        <scheme val="minor"/>
      </rPr>
      <t>tu</t>
    </r>
  </si>
  <si>
    <r>
      <t>F</t>
    </r>
    <r>
      <rPr>
        <vertAlign val="subscript"/>
        <sz val="10"/>
        <rFont val="Calibri"/>
        <family val="2"/>
        <scheme val="minor"/>
      </rPr>
      <t>tu</t>
    </r>
    <r>
      <rPr>
        <sz val="10"/>
        <rFont val="Calibri"/>
        <family val="2"/>
        <scheme val="minor"/>
      </rPr>
      <t xml:space="preserve"> (L) =</t>
    </r>
  </si>
  <si>
    <r>
      <t>n</t>
    </r>
    <r>
      <rPr>
        <vertAlign val="subscript"/>
        <sz val="10"/>
        <rFont val="Calibri"/>
        <family val="2"/>
        <scheme val="minor"/>
      </rPr>
      <t>cL</t>
    </r>
    <r>
      <rPr>
        <sz val="10"/>
        <rFont val="Calibri"/>
        <family val="2"/>
        <scheme val="minor"/>
      </rPr>
      <t xml:space="preserve"> =</t>
    </r>
  </si>
  <si>
    <r>
      <t>F</t>
    </r>
    <r>
      <rPr>
        <vertAlign val="subscript"/>
        <sz val="10"/>
        <rFont val="Calibri"/>
        <family val="2"/>
        <scheme val="minor"/>
      </rPr>
      <t>tu</t>
    </r>
    <r>
      <rPr>
        <sz val="10"/>
        <rFont val="Calibri"/>
        <family val="2"/>
        <scheme val="minor"/>
      </rPr>
      <t>(LT) =</t>
    </r>
  </si>
  <si>
    <r>
      <t>n</t>
    </r>
    <r>
      <rPr>
        <vertAlign val="subscript"/>
        <sz val="10"/>
        <rFont val="Calibri"/>
        <family val="2"/>
        <scheme val="minor"/>
      </rPr>
      <t>cLT</t>
    </r>
    <r>
      <rPr>
        <sz val="10"/>
        <rFont val="Calibri"/>
        <family val="2"/>
        <scheme val="minor"/>
      </rPr>
      <t xml:space="preserve"> =</t>
    </r>
  </si>
  <si>
    <r>
      <t>F</t>
    </r>
    <r>
      <rPr>
        <vertAlign val="subscript"/>
        <sz val="10"/>
        <rFont val="Calibri"/>
        <family val="2"/>
        <scheme val="minor"/>
      </rPr>
      <t>ty</t>
    </r>
  </si>
  <si>
    <r>
      <t>F</t>
    </r>
    <r>
      <rPr>
        <vertAlign val="subscript"/>
        <sz val="10"/>
        <rFont val="Calibri"/>
        <family val="2"/>
        <scheme val="minor"/>
      </rPr>
      <t>ty</t>
    </r>
    <r>
      <rPr>
        <sz val="10"/>
        <rFont val="Calibri"/>
        <family val="2"/>
        <scheme val="minor"/>
      </rPr>
      <t>(L) =</t>
    </r>
  </si>
  <si>
    <r>
      <t>n</t>
    </r>
    <r>
      <rPr>
        <vertAlign val="subscript"/>
        <sz val="10"/>
        <rFont val="Calibri"/>
        <family val="2"/>
        <scheme val="minor"/>
      </rPr>
      <t>tL</t>
    </r>
    <r>
      <rPr>
        <sz val="10"/>
        <rFont val="Calibri"/>
        <family val="2"/>
        <scheme val="minor"/>
      </rPr>
      <t xml:space="preserve"> =</t>
    </r>
  </si>
  <si>
    <t>Plastic</t>
  </si>
  <si>
    <t>Elastic</t>
  </si>
  <si>
    <r>
      <t>F</t>
    </r>
    <r>
      <rPr>
        <vertAlign val="subscript"/>
        <sz val="10"/>
        <rFont val="Calibri"/>
        <family val="2"/>
        <scheme val="minor"/>
      </rPr>
      <t>ty</t>
    </r>
    <r>
      <rPr>
        <sz val="10"/>
        <rFont val="Calibri"/>
        <family val="2"/>
        <scheme val="minor"/>
      </rPr>
      <t>(LT) =</t>
    </r>
  </si>
  <si>
    <r>
      <t>n</t>
    </r>
    <r>
      <rPr>
        <vertAlign val="subscript"/>
        <sz val="10"/>
        <rFont val="Calibri"/>
        <family val="2"/>
        <scheme val="minor"/>
      </rPr>
      <t>tLT</t>
    </r>
    <r>
      <rPr>
        <sz val="10"/>
        <rFont val="Calibri"/>
        <family val="2"/>
        <scheme val="minor"/>
      </rPr>
      <t xml:space="preserve"> =</t>
    </r>
  </si>
  <si>
    <t>Compression</t>
  </si>
  <si>
    <t>Ramberg</t>
  </si>
  <si>
    <t>Tangent</t>
  </si>
  <si>
    <t>Secant</t>
  </si>
  <si>
    <t>v</t>
  </si>
  <si>
    <t>Plasticity</t>
  </si>
  <si>
    <r>
      <t>F</t>
    </r>
    <r>
      <rPr>
        <vertAlign val="subscript"/>
        <sz val="10"/>
        <rFont val="Calibri"/>
        <family val="2"/>
        <scheme val="minor"/>
      </rPr>
      <t>cy</t>
    </r>
  </si>
  <si>
    <r>
      <t>F</t>
    </r>
    <r>
      <rPr>
        <vertAlign val="subscript"/>
        <sz val="10"/>
        <rFont val="Calibri"/>
        <family val="2"/>
        <scheme val="minor"/>
      </rPr>
      <t>cy</t>
    </r>
    <r>
      <rPr>
        <sz val="10"/>
        <rFont val="Calibri"/>
        <family val="2"/>
        <scheme val="minor"/>
      </rPr>
      <t>(L) =</t>
    </r>
  </si>
  <si>
    <t>(Note that the minimum of all shape factors will be used)</t>
  </si>
  <si>
    <t>nc</t>
  </si>
  <si>
    <t>Osgood</t>
  </si>
  <si>
    <t>Modulus</t>
  </si>
  <si>
    <t>plastic</t>
  </si>
  <si>
    <t>Factor</t>
  </si>
  <si>
    <t>Buckling</t>
  </si>
  <si>
    <r>
      <t>F</t>
    </r>
    <r>
      <rPr>
        <vertAlign val="subscript"/>
        <sz val="10"/>
        <rFont val="Calibri"/>
        <family val="2"/>
        <scheme val="minor"/>
      </rPr>
      <t>cy</t>
    </r>
    <r>
      <rPr>
        <sz val="10"/>
        <rFont val="Calibri"/>
        <family val="2"/>
        <scheme val="minor"/>
      </rPr>
      <t>(LT) =</t>
    </r>
  </si>
  <si>
    <t>Stress</t>
  </si>
  <si>
    <t>Strain</t>
  </si>
  <si>
    <t>NACA 3781</t>
  </si>
  <si>
    <r>
      <t>F</t>
    </r>
    <r>
      <rPr>
        <vertAlign val="subscript"/>
        <sz val="10"/>
        <rFont val="Calibri"/>
        <family val="2"/>
        <scheme val="minor"/>
      </rPr>
      <t>su</t>
    </r>
  </si>
  <si>
    <r>
      <t>F</t>
    </r>
    <r>
      <rPr>
        <vertAlign val="subscript"/>
        <sz val="10"/>
        <rFont val="Calibri"/>
        <family val="2"/>
        <scheme val="minor"/>
      </rPr>
      <t>su</t>
    </r>
    <r>
      <rPr>
        <sz val="10"/>
        <rFont val="Calibri"/>
        <family val="2"/>
        <scheme val="minor"/>
      </rPr>
      <t xml:space="preserve"> =</t>
    </r>
  </si>
  <si>
    <t>Simply</t>
  </si>
  <si>
    <t>Clamped</t>
  </si>
  <si>
    <t>(Psi)</t>
  </si>
  <si>
    <t>Supported</t>
  </si>
  <si>
    <t>Correcting the elastic buckling stress for material plasticity:</t>
  </si>
  <si>
    <t>Buckling Allowable corrected for Material Plasticity effects</t>
  </si>
  <si>
    <t>(NACA-TN-3781, 1957)</t>
  </si>
  <si>
    <t>(NACA-TN-1323, 1947)</t>
  </si>
  <si>
    <t>Panel Thickness</t>
  </si>
  <si>
    <t>Compression Stress in the Panel</t>
  </si>
  <si>
    <t>The plasticity correction factor for long clamepd Panels is used, this is conservative for all edge conditions</t>
  </si>
  <si>
    <t>PLASTIC BENDING BUCKLING OF FLAT ISOTROPIC PANELS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</si>
</sst>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0.000000000000000"/>
    <numFmt numFmtId="167" formatCode="0.0000"/>
    <numFmt numFmtId="168" formatCode="0.00000"/>
  </numFmts>
  <fonts count="26" x14ac:knownFonts="1">
    <font>
      <sz val="10"/>
      <name val="Arial"/>
    </font>
    <font>
      <sz val="10"/>
      <name val="Arial"/>
      <family val="2"/>
    </font>
    <font>
      <sz val="10"/>
      <name val="Arial"/>
      <family val="2"/>
    </font>
    <font>
      <sz val="10"/>
      <name val="Calibri"/>
      <family val="2"/>
    </font>
    <font>
      <vertAlign val="subscript"/>
      <sz val="10"/>
      <name val="Calibri"/>
      <family val="2"/>
    </font>
    <font>
      <sz val="10"/>
      <name val="Calibri"/>
      <family val="2"/>
      <scheme val="minor"/>
    </font>
    <font>
      <sz val="12"/>
      <name val="Calibri"/>
      <family val="2"/>
      <scheme val="minor"/>
    </font>
    <font>
      <b/>
      <sz val="12"/>
      <name val="Calibri"/>
      <family val="2"/>
      <scheme val="minor"/>
    </font>
    <font>
      <b/>
      <sz val="10"/>
      <name val="Calibri"/>
      <family val="2"/>
      <scheme val="minor"/>
    </font>
    <font>
      <b/>
      <i/>
      <sz val="10"/>
      <name val="Calibri"/>
      <family val="2"/>
      <scheme val="minor"/>
    </font>
    <font>
      <sz val="10"/>
      <color indexed="12"/>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i/>
      <u/>
      <sz val="10"/>
      <color theme="10"/>
      <name val="Calibri"/>
      <family val="2"/>
    </font>
    <font>
      <sz val="10"/>
      <color rgb="FF0000FF"/>
      <name val="Calibri"/>
      <family val="2"/>
      <scheme val="minor"/>
    </font>
    <font>
      <sz val="10"/>
      <color rgb="FF0000FF"/>
      <name val="Calibri"/>
      <family val="2"/>
    </font>
    <font>
      <vertAlign val="subscript"/>
      <sz val="10"/>
      <name val="Calibri"/>
      <family val="2"/>
      <scheme val="minor"/>
    </font>
    <font>
      <u/>
      <sz val="10"/>
      <color theme="10"/>
      <name val="Arial"/>
      <family val="2"/>
    </font>
    <font>
      <u/>
      <sz val="10"/>
      <color theme="10"/>
      <name val="Calibri"/>
      <family val="2"/>
      <scheme val="minor"/>
    </font>
    <font>
      <u/>
      <sz val="10"/>
      <color theme="10"/>
      <name val="Arial"/>
      <family val="2"/>
    </font>
    <font>
      <sz val="10"/>
      <color theme="1"/>
      <name val="Calibri"/>
      <family val="2"/>
      <scheme val="minor"/>
    </font>
    <font>
      <sz val="8"/>
      <name val="Calibri"/>
      <family val="2"/>
      <scheme val="minor"/>
    </font>
    <font>
      <b/>
      <sz val="8"/>
      <color indexed="81"/>
      <name val="Tahoma"/>
      <family val="2"/>
    </font>
    <font>
      <sz val="8"/>
      <color indexed="81"/>
      <name val="Tahoma"/>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2" fillId="0" borderId="0"/>
    <xf numFmtId="0" fontId="2" fillId="0" borderId="0"/>
    <xf numFmtId="0" fontId="2" fillId="0" borderId="0"/>
    <xf numFmtId="9" fontId="1" fillId="0" borderId="0" applyFont="0" applyFill="0" applyBorder="0" applyAlignment="0" applyProtection="0"/>
    <xf numFmtId="0" fontId="1" fillId="0" borderId="0"/>
    <xf numFmtId="0" fontId="1" fillId="0" borderId="0"/>
    <xf numFmtId="0" fontId="14" fillId="0" borderId="0" applyNumberFormat="0" applyFill="0" applyBorder="0" applyAlignment="0" applyProtection="0">
      <alignment vertical="top"/>
      <protection locked="0"/>
    </xf>
    <xf numFmtId="0" fontId="19" fillId="0" borderId="0" applyNumberFormat="0" applyFill="0" applyBorder="0" applyAlignment="0" applyProtection="0"/>
    <xf numFmtId="0" fontId="21" fillId="0" borderId="0" applyNumberFormat="0" applyFill="0" applyBorder="0" applyAlignment="0" applyProtection="0"/>
  </cellStyleXfs>
  <cellXfs count="148">
    <xf numFmtId="0" fontId="0" fillId="0" borderId="0" xfId="0"/>
    <xf numFmtId="0" fontId="5" fillId="0" borderId="0" xfId="0" applyFont="1" applyFill="1" applyAlignment="1" applyProtection="1">
      <alignment horizontal="right"/>
      <protection locked="0"/>
    </xf>
    <xf numFmtId="0" fontId="5" fillId="0" borderId="0" xfId="0" applyFont="1"/>
    <xf numFmtId="0" fontId="8" fillId="0" borderId="0" xfId="0" applyFont="1" applyAlignment="1">
      <alignment horizontal="center"/>
    </xf>
    <xf numFmtId="0" fontId="5" fillId="0" borderId="0" xfId="0" applyFont="1" applyBorder="1"/>
    <xf numFmtId="0" fontId="5" fillId="0" borderId="0" xfId="0" applyFont="1" applyBorder="1" applyAlignment="1"/>
    <xf numFmtId="0" fontId="9" fillId="0" borderId="0" xfId="0" applyFont="1" applyBorder="1" applyAlignment="1">
      <alignment horizontal="center"/>
    </xf>
    <xf numFmtId="165" fontId="5" fillId="0" borderId="0" xfId="0" applyNumberFormat="1" applyFont="1" applyBorder="1"/>
    <xf numFmtId="2" fontId="5" fillId="0" borderId="0" xfId="0" applyNumberFormat="1" applyFont="1" applyBorder="1" applyAlignment="1">
      <alignment horizontal="center"/>
    </xf>
    <xf numFmtId="165" fontId="5" fillId="0" borderId="0" xfId="0" applyNumberFormat="1" applyFont="1" applyBorder="1" applyAlignment="1">
      <alignment horizontal="center"/>
    </xf>
    <xf numFmtId="9" fontId="5" fillId="0" borderId="0" xfId="4" applyFont="1" applyBorder="1" applyAlignment="1">
      <alignment horizontal="center"/>
    </xf>
    <xf numFmtId="0" fontId="5" fillId="0" borderId="0" xfId="0" applyFont="1" applyProtection="1">
      <protection locked="0"/>
    </xf>
    <xf numFmtId="0" fontId="5" fillId="0" borderId="2" xfId="0" applyFont="1" applyBorder="1"/>
    <xf numFmtId="0" fontId="8" fillId="0" borderId="0" xfId="0" applyFont="1" applyFill="1" applyBorder="1" applyAlignment="1" applyProtection="1">
      <alignment horizontal="right"/>
      <protection locked="0"/>
    </xf>
    <xf numFmtId="0" fontId="5" fillId="0" borderId="0" xfId="0" applyFont="1" applyAlignment="1" applyProtection="1">
      <alignment horizontal="right"/>
      <protection locked="0"/>
    </xf>
    <xf numFmtId="0" fontId="8" fillId="0" borderId="0" xfId="0" applyFont="1" applyBorder="1" applyAlignment="1">
      <alignment horizontal="center"/>
    </xf>
    <xf numFmtId="2" fontId="5" fillId="0" borderId="0" xfId="0" applyNumberFormat="1" applyFont="1" applyAlignment="1" applyProtection="1">
      <alignment horizontal="center"/>
      <protection locked="0"/>
    </xf>
    <xf numFmtId="164" fontId="5" fillId="0" borderId="0" xfId="0" applyNumberFormat="1" applyFont="1" applyBorder="1" applyAlignment="1">
      <alignment horizontal="center"/>
    </xf>
    <xf numFmtId="0" fontId="5" fillId="0" borderId="0" xfId="0" quotePrefix="1" applyFont="1" applyBorder="1"/>
    <xf numFmtId="0" fontId="5" fillId="0" borderId="0" xfId="0" applyFont="1" applyBorder="1" applyAlignment="1">
      <alignment horizontal="right"/>
    </xf>
    <xf numFmtId="2" fontId="10" fillId="0" borderId="0" xfId="0" applyNumberFormat="1" applyFont="1" applyAlignment="1" applyProtection="1">
      <alignment horizontal="right"/>
      <protection locked="0"/>
    </xf>
    <xf numFmtId="0" fontId="5" fillId="0" borderId="0" xfId="0" applyFont="1" applyBorder="1" applyAlignment="1">
      <alignment horizontal="center"/>
    </xf>
    <xf numFmtId="0" fontId="10" fillId="0" borderId="0" xfId="0" applyFont="1" applyAlignment="1" applyProtection="1">
      <alignment horizontal="right"/>
      <protection locked="0"/>
    </xf>
    <xf numFmtId="2" fontId="5" fillId="0" borderId="0" xfId="0" applyNumberFormat="1" applyFont="1" applyAlignment="1" applyProtection="1">
      <alignment horizontal="right"/>
      <protection locked="0"/>
    </xf>
    <xf numFmtId="0" fontId="5" fillId="0" borderId="0" xfId="0" applyFont="1" applyBorder="1" applyAlignment="1">
      <alignment horizontal="left"/>
    </xf>
    <xf numFmtId="2" fontId="8" fillId="0" borderId="0" xfId="0" applyNumberFormat="1" applyFont="1" applyFill="1" applyBorder="1" applyAlignment="1" applyProtection="1">
      <alignment horizontal="center"/>
      <protection locked="0"/>
    </xf>
    <xf numFmtId="0" fontId="5" fillId="0" borderId="0" xfId="0" applyFont="1" applyAlignment="1" applyProtection="1">
      <alignment horizontal="center"/>
      <protection locked="0"/>
    </xf>
    <xf numFmtId="0" fontId="5" fillId="0" borderId="0" xfId="0" applyFont="1" applyAlignment="1">
      <alignment horizontal="center"/>
    </xf>
    <xf numFmtId="2" fontId="5" fillId="0" borderId="0" xfId="0" applyNumberFormat="1" applyFont="1" applyAlignment="1">
      <alignment horizontal="center"/>
    </xf>
    <xf numFmtId="165" fontId="5" fillId="0" borderId="0" xfId="0" applyNumberFormat="1" applyFont="1" applyBorder="1" applyAlignment="1">
      <alignment horizontal="left"/>
    </xf>
    <xf numFmtId="1" fontId="5" fillId="0" borderId="0" xfId="0" applyNumberFormat="1" applyFont="1" applyBorder="1" applyAlignment="1">
      <alignment horizontal="center"/>
    </xf>
    <xf numFmtId="165" fontId="5" fillId="0" borderId="0" xfId="0" quotePrefix="1" applyNumberFormat="1" applyFont="1" applyBorder="1"/>
    <xf numFmtId="0" fontId="5" fillId="0" borderId="0" xfId="0" applyFont="1" applyBorder="1" applyProtection="1">
      <protection locked="0"/>
    </xf>
    <xf numFmtId="0" fontId="8" fillId="0" borderId="0" xfId="0" applyFont="1" applyBorder="1" applyProtection="1">
      <protection locked="0"/>
    </xf>
    <xf numFmtId="0" fontId="5" fillId="0" borderId="0" xfId="0" applyFont="1" applyAlignment="1">
      <alignment horizontal="right"/>
    </xf>
    <xf numFmtId="0" fontId="5" fillId="0" borderId="4" xfId="0" applyFont="1" applyBorder="1"/>
    <xf numFmtId="0" fontId="5" fillId="0" borderId="2" xfId="0" applyFont="1" applyBorder="1" applyAlignment="1"/>
    <xf numFmtId="1" fontId="8" fillId="0" borderId="0" xfId="0" applyNumberFormat="1" applyFont="1" applyBorder="1" applyAlignment="1" applyProtection="1">
      <alignment horizontal="right"/>
      <protection locked="0"/>
    </xf>
    <xf numFmtId="0" fontId="9" fillId="0" borderId="0" xfId="0" applyFont="1" applyAlignment="1">
      <alignment horizontal="center"/>
    </xf>
    <xf numFmtId="0" fontId="5" fillId="0" borderId="0" xfId="5" applyFont="1" applyProtection="1">
      <protection locked="0"/>
    </xf>
    <xf numFmtId="0" fontId="5" fillId="0" borderId="0" xfId="5" applyFont="1" applyAlignment="1" applyProtection="1">
      <alignment horizontal="right"/>
      <protection locked="0"/>
    </xf>
    <xf numFmtId="0" fontId="11" fillId="0" borderId="0" xfId="5" applyFont="1" applyProtection="1">
      <protection locked="0"/>
    </xf>
    <xf numFmtId="0" fontId="11" fillId="0" borderId="0" xfId="5" applyFont="1" applyAlignment="1" applyProtection="1">
      <alignment horizontal="left"/>
      <protection locked="0"/>
    </xf>
    <xf numFmtId="0" fontId="5" fillId="0" borderId="0" xfId="5" applyFont="1"/>
    <xf numFmtId="0" fontId="5" fillId="0" borderId="0" xfId="5" applyFont="1" applyBorder="1" applyAlignment="1">
      <alignment horizontal="center"/>
    </xf>
    <xf numFmtId="0" fontId="5" fillId="0" borderId="0" xfId="5" applyFont="1" applyBorder="1"/>
    <xf numFmtId="0" fontId="5" fillId="0" borderId="0" xfId="5" applyFont="1" applyBorder="1" applyAlignment="1">
      <alignment horizontal="right"/>
    </xf>
    <xf numFmtId="0" fontId="8" fillId="0" borderId="0" xfId="5" applyFont="1" applyBorder="1" applyAlignment="1">
      <alignment horizontal="left"/>
    </xf>
    <xf numFmtId="14" fontId="11" fillId="0" borderId="0" xfId="5" quotePrefix="1" applyNumberFormat="1" applyFont="1" applyProtection="1">
      <protection locked="0"/>
    </xf>
    <xf numFmtId="0" fontId="5" fillId="0" borderId="0" xfId="6" applyFont="1" applyBorder="1" applyAlignment="1">
      <alignment horizontal="center"/>
    </xf>
    <xf numFmtId="1" fontId="5" fillId="0" borderId="0" xfId="6" applyNumberFormat="1" applyFont="1" applyBorder="1" applyAlignment="1">
      <alignment horizontal="center"/>
    </xf>
    <xf numFmtId="0" fontId="12" fillId="0" borderId="0" xfId="5" applyFont="1" applyAlignment="1" applyProtection="1">
      <alignment horizontal="left"/>
      <protection locked="0"/>
    </xf>
    <xf numFmtId="0" fontId="5" fillId="0" borderId="0" xfId="6" applyFont="1"/>
    <xf numFmtId="0" fontId="5" fillId="0" borderId="0" xfId="5" applyFont="1" applyAlignment="1">
      <alignment horizontal="right"/>
    </xf>
    <xf numFmtId="0" fontId="8" fillId="0" borderId="0" xfId="5" applyFont="1" applyAlignment="1">
      <alignment horizontal="left"/>
    </xf>
    <xf numFmtId="0" fontId="8" fillId="0" borderId="0" xfId="5" applyFont="1"/>
    <xf numFmtId="0" fontId="8" fillId="0" borderId="0" xfId="5" quotePrefix="1" applyFont="1" applyAlignment="1">
      <alignment vertical="center"/>
    </xf>
    <xf numFmtId="0" fontId="8" fillId="0" borderId="0" xfId="5" applyFont="1" applyAlignment="1">
      <alignment vertical="center"/>
    </xf>
    <xf numFmtId="0" fontId="5" fillId="0" borderId="0" xfId="5" applyFont="1" applyAlignment="1">
      <alignment horizontal="center"/>
    </xf>
    <xf numFmtId="0" fontId="8" fillId="0" borderId="0" xfId="5" applyFont="1" applyAlignment="1">
      <alignment horizontal="right"/>
    </xf>
    <xf numFmtId="0" fontId="6" fillId="0" borderId="0" xfId="5" applyFont="1"/>
    <xf numFmtId="0" fontId="7" fillId="0" borderId="0" xfId="5" applyFont="1"/>
    <xf numFmtId="0" fontId="6" fillId="0" borderId="0" xfId="5" applyFont="1" applyBorder="1" applyAlignment="1">
      <alignment horizontal="center"/>
    </xf>
    <xf numFmtId="0" fontId="6" fillId="0" borderId="0" xfId="5" applyFont="1" applyBorder="1"/>
    <xf numFmtId="0" fontId="13" fillId="0" borderId="0" xfId="5" applyFont="1"/>
    <xf numFmtId="0" fontId="5" fillId="0" borderId="0" xfId="5" applyFont="1" applyBorder="1" applyAlignment="1"/>
    <xf numFmtId="164" fontId="5" fillId="0" borderId="0" xfId="6" applyNumberFormat="1" applyFont="1" applyBorder="1" applyAlignment="1">
      <alignment horizontal="center"/>
    </xf>
    <xf numFmtId="0" fontId="13" fillId="0" borderId="0" xfId="5" applyFont="1" applyBorder="1" applyAlignment="1"/>
    <xf numFmtId="0" fontId="14" fillId="0" borderId="0" xfId="7" applyFont="1" applyBorder="1" applyAlignment="1" applyProtection="1">
      <alignment horizontal="center"/>
    </xf>
    <xf numFmtId="0" fontId="15" fillId="0" borderId="0" xfId="7" applyFont="1" applyBorder="1" applyAlignment="1" applyProtection="1">
      <alignment horizontal="center"/>
      <protection locked="0"/>
    </xf>
    <xf numFmtId="2" fontId="5" fillId="0" borderId="0" xfId="0" applyNumberFormat="1" applyFont="1"/>
    <xf numFmtId="0" fontId="5" fillId="0" borderId="0" xfId="0" applyFont="1" applyAlignment="1"/>
    <xf numFmtId="0" fontId="16" fillId="0" borderId="0" xfId="0" applyFont="1"/>
    <xf numFmtId="0" fontId="16" fillId="0" borderId="0" xfId="0" applyFont="1" applyProtection="1">
      <protection locked="0"/>
    </xf>
    <xf numFmtId="164" fontId="5" fillId="0" borderId="0" xfId="0" applyNumberFormat="1" applyFont="1"/>
    <xf numFmtId="164" fontId="5" fillId="0" borderId="0" xfId="0" applyNumberFormat="1" applyFont="1" applyAlignment="1">
      <alignment horizontal="center"/>
    </xf>
    <xf numFmtId="1" fontId="8" fillId="0" borderId="0" xfId="0" applyNumberFormat="1" applyFont="1" applyAlignment="1" applyProtection="1">
      <alignment horizontal="right"/>
      <protection locked="0"/>
    </xf>
    <xf numFmtId="2" fontId="5" fillId="0" borderId="0" xfId="0" applyNumberFormat="1" applyFont="1" applyAlignment="1" applyProtection="1">
      <protection locked="0"/>
    </xf>
    <xf numFmtId="0" fontId="5" fillId="0" borderId="2" xfId="5" applyFont="1" applyBorder="1"/>
    <xf numFmtId="0" fontId="5" fillId="0" borderId="2" xfId="5" applyFont="1" applyBorder="1" applyAlignment="1">
      <alignment horizontal="center"/>
    </xf>
    <xf numFmtId="0" fontId="5" fillId="0" borderId="0" xfId="5" applyFont="1" applyBorder="1" applyProtection="1">
      <protection locked="0"/>
    </xf>
    <xf numFmtId="1" fontId="5" fillId="0" borderId="0" xfId="5" applyNumberFormat="1" applyFont="1" applyBorder="1" applyAlignment="1" applyProtection="1">
      <alignment horizontal="center"/>
      <protection locked="0"/>
    </xf>
    <xf numFmtId="0" fontId="5" fillId="0" borderId="0" xfId="5" applyFont="1" applyBorder="1" applyAlignment="1" applyProtection="1">
      <alignment horizontal="center"/>
      <protection locked="0"/>
    </xf>
    <xf numFmtId="0" fontId="5" fillId="0" borderId="0" xfId="5" applyFont="1" applyBorder="1" applyAlignment="1" applyProtection="1">
      <protection locked="0"/>
    </xf>
    <xf numFmtId="0" fontId="5" fillId="0" borderId="0" xfId="5" applyFont="1" applyBorder="1" applyAlignment="1" applyProtection="1">
      <alignment horizontal="right"/>
      <protection locked="0"/>
    </xf>
    <xf numFmtId="1" fontId="5" fillId="0" borderId="0" xfId="5" applyNumberFormat="1" applyFont="1" applyBorder="1" applyAlignment="1" applyProtection="1">
      <alignment horizontal="right"/>
      <protection locked="0"/>
    </xf>
    <xf numFmtId="164" fontId="8" fillId="0" borderId="0" xfId="5" applyNumberFormat="1" applyFont="1" applyBorder="1" applyAlignment="1" applyProtection="1">
      <alignment horizontal="left"/>
      <protection locked="0"/>
    </xf>
    <xf numFmtId="0" fontId="16" fillId="0" borderId="0" xfId="5" applyFont="1" applyBorder="1" applyAlignment="1" applyProtection="1">
      <alignment horizontal="left"/>
      <protection locked="0"/>
    </xf>
    <xf numFmtId="0" fontId="5" fillId="0" borderId="0" xfId="5" applyFont="1" applyBorder="1" applyAlignment="1" applyProtection="1">
      <alignment vertical="top"/>
      <protection locked="0"/>
    </xf>
    <xf numFmtId="0" fontId="5" fillId="0" borderId="1" xfId="5" applyFont="1" applyBorder="1"/>
    <xf numFmtId="0" fontId="5" fillId="0" borderId="1" xfId="5" applyFont="1" applyBorder="1" applyAlignment="1">
      <alignment horizontal="center"/>
    </xf>
    <xf numFmtId="0" fontId="5" fillId="0" borderId="0" xfId="5" applyFont="1" applyBorder="1" applyAlignment="1">
      <alignment vertical="top"/>
    </xf>
    <xf numFmtId="0" fontId="5" fillId="0" borderId="0" xfId="5" applyFont="1" applyBorder="1" applyAlignment="1">
      <alignment horizontal="left"/>
    </xf>
    <xf numFmtId="0" fontId="16" fillId="0" borderId="0" xfId="5" applyFont="1" applyBorder="1" applyAlignment="1" applyProtection="1">
      <protection locked="0"/>
    </xf>
    <xf numFmtId="164" fontId="8" fillId="0" borderId="0" xfId="5" applyNumberFormat="1" applyFont="1" applyBorder="1" applyAlignment="1" applyProtection="1">
      <protection locked="0"/>
    </xf>
    <xf numFmtId="0" fontId="17" fillId="0" borderId="0" xfId="5" applyFont="1" applyBorder="1" applyAlignment="1" applyProtection="1">
      <alignment horizontal="left"/>
      <protection locked="0"/>
    </xf>
    <xf numFmtId="2" fontId="5" fillId="0" borderId="0" xfId="0" quotePrefix="1" applyNumberFormat="1" applyFont="1"/>
    <xf numFmtId="165" fontId="5" fillId="0" borderId="0" xfId="0" applyNumberFormat="1" applyFont="1"/>
    <xf numFmtId="166" fontId="5" fillId="0" borderId="0" xfId="0" applyNumberFormat="1" applyFont="1"/>
    <xf numFmtId="0" fontId="11" fillId="0" borderId="0" xfId="0" applyFont="1" applyAlignment="1"/>
    <xf numFmtId="2" fontId="5" fillId="0" borderId="0" xfId="4" applyNumberFormat="1" applyFont="1" applyBorder="1" applyAlignment="1">
      <alignment horizontal="center"/>
    </xf>
    <xf numFmtId="0" fontId="3" fillId="0" borderId="0" xfId="0" applyFont="1" applyAlignment="1">
      <alignment vertical="top"/>
    </xf>
    <xf numFmtId="0" fontId="5" fillId="0" borderId="4" xfId="5" applyFont="1" applyBorder="1" applyAlignment="1">
      <alignment horizontal="center"/>
    </xf>
    <xf numFmtId="1" fontId="5" fillId="0" borderId="4" xfId="6" applyNumberFormat="1" applyFont="1" applyBorder="1" applyAlignment="1">
      <alignment horizontal="center"/>
    </xf>
    <xf numFmtId="1" fontId="5" fillId="0" borderId="2" xfId="6" applyNumberFormat="1" applyFont="1" applyBorder="1" applyAlignment="1">
      <alignment horizontal="center"/>
    </xf>
    <xf numFmtId="0" fontId="5" fillId="0" borderId="2" xfId="6" applyFont="1" applyBorder="1" applyAlignment="1">
      <alignment horizontal="center"/>
    </xf>
    <xf numFmtId="0" fontId="5" fillId="0" borderId="3" xfId="5" applyFont="1" applyBorder="1" applyAlignment="1">
      <alignment horizontal="center"/>
    </xf>
    <xf numFmtId="2" fontId="5" fillId="0" borderId="0" xfId="0" applyNumberFormat="1" applyFont="1" applyAlignment="1" applyProtection="1">
      <alignment horizontal="left"/>
      <protection locked="0"/>
    </xf>
    <xf numFmtId="2" fontId="5" fillId="0" borderId="0" xfId="0" applyNumberFormat="1" applyFont="1" applyProtection="1">
      <protection locked="0"/>
    </xf>
    <xf numFmtId="2" fontId="5" fillId="0" borderId="0" xfId="0" applyNumberFormat="1" applyFont="1" applyAlignment="1">
      <alignment horizontal="left"/>
    </xf>
    <xf numFmtId="1" fontId="10" fillId="0" borderId="0" xfId="0" applyNumberFormat="1" applyFont="1" applyAlignment="1" applyProtection="1">
      <alignment horizontal="right"/>
      <protection locked="0"/>
    </xf>
    <xf numFmtId="0" fontId="5" fillId="0" borderId="0" xfId="5" applyFont="1" applyBorder="1" applyAlignment="1">
      <alignment horizontal="left" vertical="top" wrapText="1"/>
    </xf>
    <xf numFmtId="0" fontId="14" fillId="0" borderId="0" xfId="7" applyBorder="1" applyAlignment="1" applyProtection="1">
      <alignment horizontal="center"/>
    </xf>
    <xf numFmtId="0" fontId="20" fillId="0" borderId="0" xfId="9" applyFont="1" applyBorder="1" applyAlignment="1" applyProtection="1">
      <alignment horizontal="center"/>
    </xf>
    <xf numFmtId="0" fontId="21" fillId="0" borderId="0" xfId="9" applyBorder="1" applyAlignment="1">
      <alignment horizontal="center"/>
    </xf>
    <xf numFmtId="164" fontId="22" fillId="0" borderId="0" xfId="5" applyNumberFormat="1" applyFont="1" applyBorder="1" applyAlignment="1" applyProtection="1">
      <protection locked="0"/>
    </xf>
    <xf numFmtId="0" fontId="3" fillId="0" borderId="0" xfId="0" applyFont="1"/>
    <xf numFmtId="0" fontId="16" fillId="0" borderId="0" xfId="0" applyFont="1" applyBorder="1" applyProtection="1">
      <protection locked="0"/>
    </xf>
    <xf numFmtId="0" fontId="5" fillId="0" borderId="0" xfId="0" applyFont="1" applyBorder="1" applyAlignment="1" applyProtection="1">
      <alignment vertical="top"/>
      <protection locked="0"/>
    </xf>
    <xf numFmtId="0" fontId="5" fillId="0" borderId="2" xfId="0" applyFont="1" applyBorder="1" applyAlignment="1">
      <alignment horizontal="center"/>
    </xf>
    <xf numFmtId="165" fontId="5" fillId="0" borderId="0" xfId="0" applyNumberFormat="1" applyFont="1" applyBorder="1" applyAlignment="1" applyProtection="1">
      <alignment horizontal="center"/>
      <protection locked="0"/>
    </xf>
    <xf numFmtId="0" fontId="5" fillId="0" borderId="0" xfId="0" applyFont="1" applyBorder="1" applyAlignment="1" applyProtection="1">
      <alignment horizontal="right"/>
      <protection locked="0"/>
    </xf>
    <xf numFmtId="0" fontId="16" fillId="0" borderId="0" xfId="0" applyFont="1" applyBorder="1" applyAlignment="1" applyProtection="1">
      <alignment horizontal="left"/>
      <protection locked="0"/>
    </xf>
    <xf numFmtId="0" fontId="5" fillId="0" borderId="0" xfId="0" applyFont="1" applyBorder="1" applyAlignment="1" applyProtection="1">
      <alignment horizontal="center"/>
      <protection locked="0"/>
    </xf>
    <xf numFmtId="0" fontId="5" fillId="0" borderId="0" xfId="0" applyFont="1" applyBorder="1" applyAlignment="1" applyProtection="1">
      <protection locked="0"/>
    </xf>
    <xf numFmtId="2" fontId="5" fillId="0" borderId="0" xfId="0" applyNumberFormat="1" applyFont="1" applyBorder="1" applyAlignment="1" applyProtection="1">
      <alignment horizontal="center"/>
      <protection locked="0"/>
    </xf>
    <xf numFmtId="1" fontId="5" fillId="0" borderId="0" xfId="0" applyNumberFormat="1" applyFont="1"/>
    <xf numFmtId="0" fontId="23" fillId="0" borderId="0" xfId="0" applyFont="1" applyBorder="1" applyAlignment="1" applyProtection="1">
      <alignment horizontal="center"/>
      <protection locked="0"/>
    </xf>
    <xf numFmtId="0" fontId="23" fillId="0" borderId="0" xfId="0" applyFont="1" applyBorder="1" applyAlignment="1" applyProtection="1">
      <alignment horizontal="center" shrinkToFit="1"/>
      <protection locked="0"/>
    </xf>
    <xf numFmtId="0" fontId="5" fillId="0" borderId="0" xfId="0" applyFont="1" applyBorder="1" applyAlignment="1" applyProtection="1">
      <alignment horizontal="center" shrinkToFit="1"/>
      <protection locked="0"/>
    </xf>
    <xf numFmtId="1" fontId="5" fillId="0" borderId="0" xfId="0" applyNumberFormat="1" applyFont="1" applyBorder="1" applyAlignment="1" applyProtection="1">
      <alignment horizontal="center"/>
      <protection locked="0"/>
    </xf>
    <xf numFmtId="167" fontId="5" fillId="0" borderId="0" xfId="0" applyNumberFormat="1" applyFont="1" applyBorder="1" applyAlignment="1" applyProtection="1">
      <alignment horizontal="center"/>
      <protection locked="0"/>
    </xf>
    <xf numFmtId="0" fontId="5" fillId="0" borderId="0" xfId="0" applyFont="1" applyAlignment="1">
      <alignment vertical="top"/>
    </xf>
    <xf numFmtId="164" fontId="8" fillId="0" borderId="0" xfId="0" applyNumberFormat="1" applyFont="1" applyBorder="1" applyProtection="1">
      <protection locked="0"/>
    </xf>
    <xf numFmtId="0" fontId="5" fillId="0" borderId="0" xfId="0" applyFont="1" applyFill="1" applyAlignment="1" applyProtection="1">
      <alignment horizontal="left"/>
      <protection locked="0"/>
    </xf>
    <xf numFmtId="0" fontId="5" fillId="0" borderId="0" xfId="0" applyFont="1" applyBorder="1" applyAlignment="1" applyProtection="1">
      <alignment horizontal="left"/>
      <protection locked="0"/>
    </xf>
    <xf numFmtId="168" fontId="5" fillId="0" borderId="0" xfId="0" applyNumberFormat="1" applyFont="1" applyBorder="1" applyAlignment="1">
      <alignment horizontal="center"/>
    </xf>
    <xf numFmtId="167" fontId="8" fillId="0" borderId="0" xfId="0" applyNumberFormat="1" applyFont="1" applyBorder="1" applyAlignment="1" applyProtection="1">
      <alignment horizontal="right"/>
      <protection locked="0"/>
    </xf>
    <xf numFmtId="2" fontId="8" fillId="0" borderId="0" xfId="0" applyNumberFormat="1" applyFont="1" applyBorder="1" applyAlignment="1" applyProtection="1">
      <alignment vertical="top"/>
      <protection locked="0"/>
    </xf>
    <xf numFmtId="0" fontId="5" fillId="0" borderId="0" xfId="5" applyFont="1" applyBorder="1" applyAlignment="1" applyProtection="1">
      <alignment horizontal="left"/>
      <protection locked="0"/>
    </xf>
    <xf numFmtId="1" fontId="16" fillId="0" borderId="0" xfId="5" applyNumberFormat="1" applyFont="1" applyBorder="1" applyAlignment="1" applyProtection="1">
      <protection locked="0"/>
    </xf>
    <xf numFmtId="0" fontId="5" fillId="0" borderId="0" xfId="5" applyFont="1" applyBorder="1" applyAlignment="1">
      <alignment horizontal="left" vertical="top" wrapText="1"/>
    </xf>
    <xf numFmtId="0" fontId="5" fillId="0" borderId="0" xfId="5" applyFont="1" applyBorder="1" applyAlignment="1">
      <alignment horizontal="left" wrapText="1"/>
    </xf>
    <xf numFmtId="0" fontId="14" fillId="0" borderId="0" xfId="7" applyBorder="1" applyAlignment="1" applyProtection="1">
      <alignment horizontal="center"/>
    </xf>
    <xf numFmtId="0" fontId="20" fillId="0" borderId="0" xfId="8" applyFont="1" applyAlignment="1">
      <alignment horizontal="left"/>
    </xf>
    <xf numFmtId="0" fontId="8" fillId="0" borderId="0" xfId="0" applyFont="1" applyBorder="1" applyAlignment="1" applyProtection="1">
      <alignment horizontal="center"/>
      <protection locked="0"/>
    </xf>
    <xf numFmtId="0" fontId="5" fillId="0" borderId="0" xfId="0" applyFont="1" applyBorder="1" applyAlignment="1" applyProtection="1">
      <alignment horizontal="left" vertical="top" wrapText="1"/>
      <protection locked="0"/>
    </xf>
    <xf numFmtId="0" fontId="5" fillId="0" borderId="0" xfId="5" applyFont="1" applyBorder="1" applyAlignment="1" applyProtection="1">
      <alignment horizontal="left" vertical="top" wrapText="1"/>
      <protection locked="0"/>
    </xf>
  </cellXfs>
  <cellStyles count="10">
    <cellStyle name="Hyperlink" xfId="8" builtinId="8"/>
    <cellStyle name="Hyperlink 2" xfId="7"/>
    <cellStyle name="Hyperlink 3" xfId="9"/>
    <cellStyle name="Normal" xfId="0" builtinId="0"/>
    <cellStyle name="Normal 2" xfId="1"/>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17675044119704"/>
          <c:y val="3.1181262463267675E-2"/>
          <c:w val="0.80425069063058996"/>
          <c:h val="0.74748127200037906"/>
        </c:manualLayout>
      </c:layout>
      <c:scatterChart>
        <c:scatterStyle val="lineMarker"/>
        <c:varyColors val="0"/>
        <c:ser>
          <c:idx val="0"/>
          <c:order val="0"/>
          <c:spPr>
            <a:ln w="19050" cap="rnd">
              <a:solidFill>
                <a:schemeClr val="tx1"/>
              </a:solidFill>
              <a:round/>
            </a:ln>
            <a:effectLst/>
          </c:spPr>
          <c:marker>
            <c:symbol val="none"/>
          </c:marker>
          <c:xVal>
            <c:numRef>
              <c:f>SIMPLE!$Y$13:$Y$59</c:f>
              <c:numCache>
                <c:formatCode>0.00</c:formatCode>
                <c:ptCount val="47"/>
                <c:pt idx="0">
                  <c:v>2</c:v>
                </c:pt>
                <c:pt idx="1">
                  <c:v>2.2000000000000002</c:v>
                </c:pt>
                <c:pt idx="2">
                  <c:v>2.4</c:v>
                </c:pt>
                <c:pt idx="3">
                  <c:v>2.6</c:v>
                </c:pt>
                <c:pt idx="4">
                  <c:v>2.8</c:v>
                </c:pt>
                <c:pt idx="5">
                  <c:v>3</c:v>
                </c:pt>
                <c:pt idx="6">
                  <c:v>3.2</c:v>
                </c:pt>
                <c:pt idx="7">
                  <c:v>3.4</c:v>
                </c:pt>
                <c:pt idx="8">
                  <c:v>3.6</c:v>
                </c:pt>
                <c:pt idx="9">
                  <c:v>3.8</c:v>
                </c:pt>
                <c:pt idx="10">
                  <c:v>4</c:v>
                </c:pt>
                <c:pt idx="11">
                  <c:v>4.2</c:v>
                </c:pt>
                <c:pt idx="12">
                  <c:v>4.4000000000000004</c:v>
                </c:pt>
                <c:pt idx="13">
                  <c:v>4.5999999999999996</c:v>
                </c:pt>
                <c:pt idx="14">
                  <c:v>4.8</c:v>
                </c:pt>
                <c:pt idx="15">
                  <c:v>5</c:v>
                </c:pt>
                <c:pt idx="16">
                  <c:v>5.2</c:v>
                </c:pt>
                <c:pt idx="17">
                  <c:v>5.4</c:v>
                </c:pt>
                <c:pt idx="18">
                  <c:v>5.6</c:v>
                </c:pt>
                <c:pt idx="19">
                  <c:v>5.8</c:v>
                </c:pt>
                <c:pt idx="20">
                  <c:v>6</c:v>
                </c:pt>
                <c:pt idx="21">
                  <c:v>6.2</c:v>
                </c:pt>
                <c:pt idx="22">
                  <c:v>6.9</c:v>
                </c:pt>
                <c:pt idx="23">
                  <c:v>7.6</c:v>
                </c:pt>
                <c:pt idx="24">
                  <c:v>8.3000000000000007</c:v>
                </c:pt>
                <c:pt idx="25">
                  <c:v>9</c:v>
                </c:pt>
                <c:pt idx="26">
                  <c:v>9.6999999999999993</c:v>
                </c:pt>
                <c:pt idx="27">
                  <c:v>10.4</c:v>
                </c:pt>
                <c:pt idx="28">
                  <c:v>11.1</c:v>
                </c:pt>
                <c:pt idx="29">
                  <c:v>11.8</c:v>
                </c:pt>
                <c:pt idx="30">
                  <c:v>12.5</c:v>
                </c:pt>
                <c:pt idx="31">
                  <c:v>13.2</c:v>
                </c:pt>
                <c:pt idx="32">
                  <c:v>13.9</c:v>
                </c:pt>
                <c:pt idx="33">
                  <c:v>14.6</c:v>
                </c:pt>
                <c:pt idx="34">
                  <c:v>15.3</c:v>
                </c:pt>
                <c:pt idx="35">
                  <c:v>16</c:v>
                </c:pt>
                <c:pt idx="36">
                  <c:v>16.7</c:v>
                </c:pt>
                <c:pt idx="37">
                  <c:v>17.399999999999999</c:v>
                </c:pt>
                <c:pt idx="38">
                  <c:v>18.100000000000001</c:v>
                </c:pt>
                <c:pt idx="39">
                  <c:v>18.8</c:v>
                </c:pt>
                <c:pt idx="40">
                  <c:v>19.5</c:v>
                </c:pt>
                <c:pt idx="41">
                  <c:v>20.2</c:v>
                </c:pt>
                <c:pt idx="42">
                  <c:v>20.9</c:v>
                </c:pt>
                <c:pt idx="43">
                  <c:v>21.6</c:v>
                </c:pt>
                <c:pt idx="44">
                  <c:v>22.3</c:v>
                </c:pt>
                <c:pt idx="45">
                  <c:v>23</c:v>
                </c:pt>
              </c:numCache>
            </c:numRef>
          </c:xVal>
          <c:yVal>
            <c:numRef>
              <c:f>SIMPLE!$Z$13:$Z$59</c:f>
              <c:numCache>
                <c:formatCode>0.0</c:formatCode>
                <c:ptCount val="47"/>
                <c:pt idx="0">
                  <c:v>113.6</c:v>
                </c:pt>
                <c:pt idx="1">
                  <c:v>86.394139744552945</c:v>
                </c:pt>
                <c:pt idx="2">
                  <c:v>68.456481481481489</c:v>
                </c:pt>
                <c:pt idx="3">
                  <c:v>56.277742375967208</c:v>
                </c:pt>
                <c:pt idx="4">
                  <c:v>47.804081632653066</c:v>
                </c:pt>
                <c:pt idx="5">
                  <c:v>41.785185185185178</c:v>
                </c:pt>
                <c:pt idx="6">
                  <c:v>37.433984374999994</c:v>
                </c:pt>
                <c:pt idx="7">
                  <c:v>34.240545491553021</c:v>
                </c:pt>
                <c:pt idx="8">
                  <c:v>31.866117969821666</c:v>
                </c:pt>
                <c:pt idx="9">
                  <c:v>30.0806823152063</c:v>
                </c:pt>
                <c:pt idx="10">
                  <c:v>28.725000000000001</c:v>
                </c:pt>
                <c:pt idx="11">
                  <c:v>27.686923658352228</c:v>
                </c:pt>
                <c:pt idx="12">
                  <c:v>26.886250939143501</c:v>
                </c:pt>
                <c:pt idx="13">
                  <c:v>26.264831100517796</c:v>
                </c:pt>
                <c:pt idx="14">
                  <c:v>25.779976851851853</c:v>
                </c:pt>
                <c:pt idx="15">
                  <c:v>25.4</c:v>
                </c:pt>
                <c:pt idx="16">
                  <c:v>25.101137915339098</c:v>
                </c:pt>
                <c:pt idx="17">
                  <c:v>24.865406696133718</c:v>
                </c:pt>
                <c:pt idx="18">
                  <c:v>24.679081632653062</c:v>
                </c:pt>
                <c:pt idx="19">
                  <c:v>24.531608512034115</c:v>
                </c:pt>
                <c:pt idx="20">
                  <c:v>24.414814814814815</c:v>
                </c:pt>
                <c:pt idx="21">
                  <c:v>24.32233224799436</c:v>
                </c:pt>
                <c:pt idx="22">
                  <c:v>24.126959687558028</c:v>
                </c:pt>
                <c:pt idx="23">
                  <c:v>24.04408805948389</c:v>
                </c:pt>
                <c:pt idx="24">
                  <c:v>24.012029304618679</c:v>
                </c:pt>
                <c:pt idx="25">
                  <c:v>24.001920438957477</c:v>
                </c:pt>
                <c:pt idx="26">
                  <c:v>24.000041416805363</c:v>
                </c:pt>
                <c:pt idx="27">
                  <c:v>23.999920345926263</c:v>
                </c:pt>
                <c:pt idx="28">
                  <c:v>23.998637497980084</c:v>
                </c:pt>
                <c:pt idx="29">
                  <c:v>23.995030650650747</c:v>
                </c:pt>
                <c:pt idx="30">
                  <c:v>23.988800000000001</c:v>
                </c:pt>
                <c:pt idx="31">
                  <c:v>23.980053983359767</c:v>
                </c:pt>
                <c:pt idx="32">
                  <c:v>23.969077296518979</c:v>
                </c:pt>
                <c:pt idx="33">
                  <c:v>23.956213224614864</c:v>
                </c:pt>
                <c:pt idx="34">
                  <c:v>23.94180557893911</c:v>
                </c:pt>
                <c:pt idx="35">
                  <c:v>23.926171875000001</c:v>
                </c:pt>
                <c:pt idx="36">
                  <c:v>23.909592797623944</c:v>
                </c:pt>
                <c:pt idx="37">
                  <c:v>23.892309981883152</c:v>
                </c:pt>
                <c:pt idx="38">
                  <c:v>23.874527841941156</c:v>
                </c:pt>
                <c:pt idx="39">
                  <c:v>23.856417171532321</c:v>
                </c:pt>
                <c:pt idx="40">
                  <c:v>23.838119320959557</c:v>
                </c:pt>
                <c:pt idx="41">
                  <c:v>23.819750344802149</c:v>
                </c:pt>
                <c:pt idx="42">
                  <c:v>23.80140483490079</c:v>
                </c:pt>
                <c:pt idx="43">
                  <c:v>23.783159325306102</c:v>
                </c:pt>
                <c:pt idx="44">
                  <c:v>23.765075245949639</c:v>
                </c:pt>
                <c:pt idx="45">
                  <c:v>23.747201446535712</c:v>
                </c:pt>
              </c:numCache>
            </c:numRef>
          </c:yVal>
          <c:smooth val="0"/>
          <c:extLst>
            <c:ext xmlns:c16="http://schemas.microsoft.com/office/drawing/2014/chart" uri="{C3380CC4-5D6E-409C-BE32-E72D297353CC}">
              <c16:uniqueId val="{00000000-1D0F-49B9-8447-C05F285B8E1D}"/>
            </c:ext>
          </c:extLst>
        </c:ser>
        <c:ser>
          <c:idx val="1"/>
          <c:order val="1"/>
          <c:spPr>
            <a:ln w="19050" cap="rnd">
              <a:solidFill>
                <a:srgbClr val="FF0000"/>
              </a:solidFill>
              <a:round/>
            </a:ln>
            <a:effectLst/>
          </c:spPr>
          <c:marker>
            <c:symbol val="none"/>
          </c:marker>
          <c:xVal>
            <c:numRef>
              <c:f>SIMPLE!$AB$13:$AB$15</c:f>
              <c:numCache>
                <c:formatCode>0.00</c:formatCode>
                <c:ptCount val="3"/>
                <c:pt idx="0">
                  <c:v>10</c:v>
                </c:pt>
                <c:pt idx="1">
                  <c:v>10</c:v>
                </c:pt>
                <c:pt idx="2" formatCode="0%">
                  <c:v>0</c:v>
                </c:pt>
              </c:numCache>
            </c:numRef>
          </c:xVal>
          <c:yVal>
            <c:numRef>
              <c:f>SIMPLE!$AC$13:$AC$15</c:f>
              <c:numCache>
                <c:formatCode>0.0</c:formatCode>
                <c:ptCount val="3"/>
                <c:pt idx="0">
                  <c:v>0</c:v>
                </c:pt>
                <c:pt idx="1">
                  <c:v>24</c:v>
                </c:pt>
                <c:pt idx="2" formatCode="0.00">
                  <c:v>24</c:v>
                </c:pt>
              </c:numCache>
            </c:numRef>
          </c:yVal>
          <c:smooth val="0"/>
          <c:extLst>
            <c:ext xmlns:c16="http://schemas.microsoft.com/office/drawing/2014/chart" uri="{C3380CC4-5D6E-409C-BE32-E72D297353CC}">
              <c16:uniqueId val="{00000001-1D0F-49B9-8447-C05F285B8E1D}"/>
            </c:ext>
          </c:extLst>
        </c:ser>
        <c:dLbls>
          <c:showLegendKey val="0"/>
          <c:showVal val="0"/>
          <c:showCatName val="0"/>
          <c:showSerName val="0"/>
          <c:showPercent val="0"/>
          <c:showBubbleSize val="0"/>
        </c:dLbls>
        <c:axId val="633361936"/>
        <c:axId val="633362264"/>
      </c:scatterChart>
      <c:valAx>
        <c:axId val="633361936"/>
        <c:scaling>
          <c:orientation val="minMax"/>
          <c:max val="23"/>
          <c:min val="2"/>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a:t>
                </a:r>
              </a:p>
            </c:rich>
          </c:tx>
          <c:layout>
            <c:manualLayout>
              <c:xMode val="edge"/>
              <c:yMode val="edge"/>
              <c:x val="0.48639266717784335"/>
              <c:y val="0.9076607147638634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majorUnit val="3"/>
      </c:valAx>
      <c:valAx>
        <c:axId val="633362264"/>
        <c:scaling>
          <c:orientation val="minMax"/>
          <c:max val="56"/>
          <c:min val="3.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Compression Buckling, k</a:t>
                </a:r>
                <a:r>
                  <a:rPr lang="en-US" baseline="-25000"/>
                  <a:t>ss</a:t>
                </a:r>
              </a:p>
            </c:rich>
          </c:tx>
          <c:layout>
            <c:manualLayout>
              <c:xMode val="edge"/>
              <c:yMode val="edge"/>
              <c:x val="0"/>
              <c:y val="0.1805891571545598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4"/>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75895545341107"/>
          <c:y val="6.7002919815745937E-2"/>
          <c:w val="0.81630959540454107"/>
          <c:h val="0.75330072413104043"/>
        </c:manualLayout>
      </c:layout>
      <c:scatterChart>
        <c:scatterStyle val="lineMarker"/>
        <c:varyColors val="0"/>
        <c:ser>
          <c:idx val="0"/>
          <c:order val="0"/>
          <c:spPr>
            <a:ln w="19050" cap="rnd">
              <a:solidFill>
                <a:schemeClr val="tx1"/>
              </a:solidFill>
              <a:round/>
            </a:ln>
            <a:effectLst/>
          </c:spPr>
          <c:marker>
            <c:symbol val="none"/>
          </c:marker>
          <c:xVal>
            <c:numRef>
              <c:f>SIMPLE!$AC$25:$AC$41</c:f>
              <c:numCache>
                <c:formatCode>General</c:formatCode>
                <c:ptCount val="17"/>
                <c:pt idx="0">
                  <c:v>0.5</c:v>
                </c:pt>
                <c:pt idx="1">
                  <c:v>1</c:v>
                </c:pt>
                <c:pt idx="2">
                  <c:v>2</c:v>
                </c:pt>
                <c:pt idx="3">
                  <c:v>3</c:v>
                </c:pt>
                <c:pt idx="4">
                  <c:v>4</c:v>
                </c:pt>
                <c:pt idx="5">
                  <c:v>6</c:v>
                </c:pt>
                <c:pt idx="6">
                  <c:v>8</c:v>
                </c:pt>
                <c:pt idx="7">
                  <c:v>10</c:v>
                </c:pt>
                <c:pt idx="8">
                  <c:v>12</c:v>
                </c:pt>
                <c:pt idx="9">
                  <c:v>16</c:v>
                </c:pt>
                <c:pt idx="10">
                  <c:v>20</c:v>
                </c:pt>
                <c:pt idx="11">
                  <c:v>30</c:v>
                </c:pt>
                <c:pt idx="12">
                  <c:v>40</c:v>
                </c:pt>
                <c:pt idx="13">
                  <c:v>70</c:v>
                </c:pt>
                <c:pt idx="14">
                  <c:v>100</c:v>
                </c:pt>
                <c:pt idx="15">
                  <c:v>200</c:v>
                </c:pt>
                <c:pt idx="16">
                  <c:v>500</c:v>
                </c:pt>
              </c:numCache>
            </c:numRef>
          </c:xVal>
          <c:yVal>
            <c:numRef>
              <c:f>SIMPLE!$AE$25:$AE$41</c:f>
              <c:numCache>
                <c:formatCode>General</c:formatCode>
                <c:ptCount val="17"/>
                <c:pt idx="0">
                  <c:v>1.05</c:v>
                </c:pt>
                <c:pt idx="1">
                  <c:v>1.0900000000000001</c:v>
                </c:pt>
                <c:pt idx="2">
                  <c:v>1.1499999999999999</c:v>
                </c:pt>
                <c:pt idx="3">
                  <c:v>1.2</c:v>
                </c:pt>
                <c:pt idx="4">
                  <c:v>1.2424999999999999</c:v>
                </c:pt>
                <c:pt idx="5">
                  <c:v>1.3125</c:v>
                </c:pt>
                <c:pt idx="6">
                  <c:v>1.365</c:v>
                </c:pt>
                <c:pt idx="7">
                  <c:v>1.4</c:v>
                </c:pt>
                <c:pt idx="8">
                  <c:v>1.4325000000000001</c:v>
                </c:pt>
                <c:pt idx="9">
                  <c:v>1.4824999999999999</c:v>
                </c:pt>
                <c:pt idx="10">
                  <c:v>1.5175000000000001</c:v>
                </c:pt>
                <c:pt idx="11">
                  <c:v>1.5745</c:v>
                </c:pt>
                <c:pt idx="12">
                  <c:v>1.605</c:v>
                </c:pt>
                <c:pt idx="13">
                  <c:v>1.6575</c:v>
                </c:pt>
                <c:pt idx="14">
                  <c:v>1.68</c:v>
                </c:pt>
                <c:pt idx="15">
                  <c:v>1.7124999999999999</c:v>
                </c:pt>
                <c:pt idx="16">
                  <c:v>1.74</c:v>
                </c:pt>
              </c:numCache>
            </c:numRef>
          </c:yVal>
          <c:smooth val="0"/>
          <c:extLst>
            <c:ext xmlns:c16="http://schemas.microsoft.com/office/drawing/2014/chart" uri="{C3380CC4-5D6E-409C-BE32-E72D297353CC}">
              <c16:uniqueId val="{00000000-EA7C-4C1F-AE93-71CCC5EDB31E}"/>
            </c:ext>
          </c:extLst>
        </c:ser>
        <c:ser>
          <c:idx val="1"/>
          <c:order val="1"/>
          <c:spPr>
            <a:ln w="19050" cap="rnd">
              <a:solidFill>
                <a:srgbClr val="FF0000"/>
              </a:solidFill>
              <a:round/>
            </a:ln>
            <a:effectLst/>
          </c:spPr>
          <c:marker>
            <c:symbol val="none"/>
          </c:marker>
          <c:xVal>
            <c:numRef>
              <c:f>SIMPLE!$AI$28:$AI$30</c:f>
              <c:numCache>
                <c:formatCode>0.00</c:formatCode>
                <c:ptCount val="3"/>
                <c:pt idx="0">
                  <c:v>3.8893959508795204</c:v>
                </c:pt>
                <c:pt idx="1">
                  <c:v>3.8893959508795204</c:v>
                </c:pt>
                <c:pt idx="2" formatCode="General">
                  <c:v>0.1</c:v>
                </c:pt>
              </c:numCache>
            </c:numRef>
          </c:xVal>
          <c:yVal>
            <c:numRef>
              <c:f>SIMPLE!$AJ$28:$AJ$30</c:f>
              <c:numCache>
                <c:formatCode>General</c:formatCode>
                <c:ptCount val="3"/>
                <c:pt idx="0">
                  <c:v>0</c:v>
                </c:pt>
                <c:pt idx="1">
                  <c:v>1.2377993279123796</c:v>
                </c:pt>
                <c:pt idx="2">
                  <c:v>1.2377993279123796</c:v>
                </c:pt>
              </c:numCache>
            </c:numRef>
          </c:yVal>
          <c:smooth val="0"/>
          <c:extLst>
            <c:ext xmlns:c16="http://schemas.microsoft.com/office/drawing/2014/chart" uri="{C3380CC4-5D6E-409C-BE32-E72D297353CC}">
              <c16:uniqueId val="{00000001-EA7C-4C1F-AE93-71CCC5EDB31E}"/>
            </c:ext>
          </c:extLst>
        </c:ser>
        <c:dLbls>
          <c:showLegendKey val="0"/>
          <c:showVal val="0"/>
          <c:showCatName val="0"/>
          <c:showSerName val="0"/>
          <c:showPercent val="0"/>
          <c:showBubbleSize val="0"/>
        </c:dLbls>
        <c:axId val="619247944"/>
        <c:axId val="619245976"/>
      </c:scatterChart>
      <c:valAx>
        <c:axId val="619247944"/>
        <c:scaling>
          <c:logBase val="10"/>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Panel Rotational Edge Stiffness, </a:t>
                </a:r>
                <a:r>
                  <a:rPr lang="el-GR"/>
                  <a:t>ϵ</a:t>
                </a:r>
                <a:r>
                  <a:rPr lang="en-US"/>
                  <a:t>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9245976"/>
        <c:crosses val="autoZero"/>
        <c:crossBetween val="midCat"/>
        <c:majorUnit val="10"/>
      </c:valAx>
      <c:valAx>
        <c:axId val="6192459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Buckling Coefficient modifier, k</a:t>
                </a:r>
                <a:r>
                  <a:rPr lang="en-US" baseline="-25000"/>
                  <a:t>m</a:t>
                </a:r>
              </a:p>
            </c:rich>
          </c:tx>
          <c:layout>
            <c:manualLayout>
              <c:xMode val="edge"/>
              <c:yMode val="edge"/>
              <c:x val="6.8634740908296013E-3"/>
              <c:y val="0.1001268220624702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9247944"/>
        <c:crossesAt val="0.1"/>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19076672389642"/>
          <c:y val="6.1855747945881334E-2"/>
          <c:w val="0.78476336451518702"/>
          <c:h val="0.79381543197214277"/>
        </c:manualLayout>
      </c:layout>
      <c:scatterChart>
        <c:scatterStyle val="lineMarker"/>
        <c:varyColors val="0"/>
        <c:ser>
          <c:idx val="0"/>
          <c:order val="0"/>
          <c:tx>
            <c:v>Elastic-Plastic Compression Buckling Curve</c:v>
          </c:tx>
          <c:spPr>
            <a:ln w="19050">
              <a:solidFill>
                <a:schemeClr val="tx1"/>
              </a:solidFill>
              <a:prstDash val="solid"/>
            </a:ln>
          </c:spPr>
          <c:marker>
            <c:symbol val="none"/>
          </c:marker>
          <c:xVal>
            <c:numRef>
              <c:f>SIMPLE!$AF$78:$AF$103</c:f>
              <c:numCache>
                <c:formatCode>0</c:formatCode>
                <c:ptCount val="26"/>
                <c:pt idx="0">
                  <c:v>0</c:v>
                </c:pt>
                <c:pt idx="1">
                  <c:v>37297.207944416514</c:v>
                </c:pt>
                <c:pt idx="2">
                  <c:v>38418.472283827898</c:v>
                </c:pt>
                <c:pt idx="3">
                  <c:v>39613.728872251471</c:v>
                </c:pt>
                <c:pt idx="4">
                  <c:v>40919.934725483516</c:v>
                </c:pt>
                <c:pt idx="5">
                  <c:v>42387.958060804631</c:v>
                </c:pt>
                <c:pt idx="6">
                  <c:v>44084.193710550629</c:v>
                </c:pt>
                <c:pt idx="7">
                  <c:v>46089.519803876487</c:v>
                </c:pt>
                <c:pt idx="8">
                  <c:v>48494.257810143507</c:v>
                </c:pt>
                <c:pt idx="9">
                  <c:v>51389.75471914254</c:v>
                </c:pt>
                <c:pt idx="10">
                  <c:v>54861.313571640159</c:v>
                </c:pt>
                <c:pt idx="11">
                  <c:v>58991.454218058861</c:v>
                </c:pt>
                <c:pt idx="12">
                  <c:v>63882.537173109253</c:v>
                </c:pt>
                <c:pt idx="13">
                  <c:v>69701.207796316914</c:v>
                </c:pt>
                <c:pt idx="14">
                  <c:v>76738.126007657367</c:v>
                </c:pt>
                <c:pt idx="15">
                  <c:v>85473.223155222164</c:v>
                </c:pt>
                <c:pt idx="16">
                  <c:v>96642.707534546571</c:v>
                </c:pt>
                <c:pt idx="17">
                  <c:v>112209.05535908845</c:v>
                </c:pt>
                <c:pt idx="18">
                  <c:v>142120.89966863167</c:v>
                </c:pt>
                <c:pt idx="19">
                  <c:v>189008.20364981226</c:v>
                </c:pt>
                <c:pt idx="20">
                  <c:v>263246.36286896752</c:v>
                </c:pt>
                <c:pt idx="21">
                  <c:v>380923.99957728473</c:v>
                </c:pt>
                <c:pt idx="22">
                  <c:v>566765.89193563221</c:v>
                </c:pt>
                <c:pt idx="23">
                  <c:v>858428.73614016827</c:v>
                </c:pt>
                <c:pt idx="24">
                  <c:v>1312771.2021495823</c:v>
                </c:pt>
                <c:pt idx="25">
                  <c:v>2014935.5819624227</c:v>
                </c:pt>
              </c:numCache>
            </c:numRef>
          </c:xVal>
          <c:yVal>
            <c:numRef>
              <c:f>SIMPLE!$X$78:$X$103</c:f>
              <c:numCache>
                <c:formatCode>0</c:formatCode>
                <c:ptCount val="26"/>
                <c:pt idx="0">
                  <c:v>0</c:v>
                </c:pt>
                <c:pt idx="1">
                  <c:v>37100</c:v>
                </c:pt>
                <c:pt idx="2">
                  <c:v>38093.75</c:v>
                </c:pt>
                <c:pt idx="3">
                  <c:v>39087.5</c:v>
                </c:pt>
                <c:pt idx="4">
                  <c:v>40081.25</c:v>
                </c:pt>
                <c:pt idx="5">
                  <c:v>41075</c:v>
                </c:pt>
                <c:pt idx="6">
                  <c:v>42068.75</c:v>
                </c:pt>
                <c:pt idx="7">
                  <c:v>43062.5</c:v>
                </c:pt>
                <c:pt idx="8">
                  <c:v>44056.25</c:v>
                </c:pt>
                <c:pt idx="9">
                  <c:v>45050</c:v>
                </c:pt>
                <c:pt idx="10">
                  <c:v>46043.75</c:v>
                </c:pt>
                <c:pt idx="11">
                  <c:v>47037.5</c:v>
                </c:pt>
                <c:pt idx="12">
                  <c:v>48031.25</c:v>
                </c:pt>
                <c:pt idx="13">
                  <c:v>49025</c:v>
                </c:pt>
                <c:pt idx="14">
                  <c:v>50018.75</c:v>
                </c:pt>
                <c:pt idx="15">
                  <c:v>51012.5</c:v>
                </c:pt>
                <c:pt idx="16">
                  <c:v>52006.25</c:v>
                </c:pt>
                <c:pt idx="17">
                  <c:v>53000</c:v>
                </c:pt>
                <c:pt idx="18">
                  <c:v>54250</c:v>
                </c:pt>
                <c:pt idx="19">
                  <c:v>55500</c:v>
                </c:pt>
                <c:pt idx="20">
                  <c:v>56750</c:v>
                </c:pt>
                <c:pt idx="21">
                  <c:v>58000</c:v>
                </c:pt>
                <c:pt idx="22">
                  <c:v>59250</c:v>
                </c:pt>
                <c:pt idx="23">
                  <c:v>60500</c:v>
                </c:pt>
                <c:pt idx="24">
                  <c:v>61750</c:v>
                </c:pt>
                <c:pt idx="25">
                  <c:v>63000</c:v>
                </c:pt>
              </c:numCache>
            </c:numRef>
          </c:yVal>
          <c:smooth val="0"/>
          <c:extLst>
            <c:ext xmlns:c16="http://schemas.microsoft.com/office/drawing/2014/chart" uri="{C3380CC4-5D6E-409C-BE32-E72D297353CC}">
              <c16:uniqueId val="{00000000-0C6B-4FDA-B446-BADCAC55B238}"/>
            </c:ext>
          </c:extLst>
        </c:ser>
        <c:ser>
          <c:idx val="1"/>
          <c:order val="1"/>
          <c:spPr>
            <a:ln w="15875">
              <a:solidFill>
                <a:srgbClr val="FF0000"/>
              </a:solidFill>
            </a:ln>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01-0C6B-4FDA-B446-BADCAC55B238}"/>
                </c:ext>
              </c:extLst>
            </c:dLbl>
            <c:spPr>
              <a:noFill/>
              <a:ln>
                <a:noFill/>
              </a:ln>
              <a:effectLst/>
            </c:spPr>
            <c:txPr>
              <a:bodyPr wrap="square" lIns="38100" tIns="19050" rIns="38100" bIns="19050" anchor="ctr">
                <a:spAutoFit/>
              </a:bodyPr>
              <a:lstStyle/>
              <a:p>
                <a:pPr>
                  <a:defRPr>
                    <a:solidFill>
                      <a:srgbClr val="FF0000"/>
                    </a:solidFill>
                  </a:defRPr>
                </a:pPr>
                <a:endParaRPr lang="en-US"/>
              </a:p>
            </c:txPr>
            <c:dLblPos val="b"/>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SIMPLE!$AH$87:$AH$88</c:f>
              <c:numCache>
                <c:formatCode>0</c:formatCode>
                <c:ptCount val="2"/>
                <c:pt idx="0">
                  <c:v>172997.39804037751</c:v>
                </c:pt>
                <c:pt idx="1">
                  <c:v>172997.39804037751</c:v>
                </c:pt>
              </c:numCache>
            </c:numRef>
          </c:xVal>
          <c:yVal>
            <c:numRef>
              <c:f>SIMPLE!$AI$87:$AI$88</c:f>
              <c:numCache>
                <c:formatCode>General</c:formatCode>
                <c:ptCount val="2"/>
                <c:pt idx="0">
                  <c:v>0</c:v>
                </c:pt>
                <c:pt idx="1">
                  <c:v>55073.157223545495</c:v>
                </c:pt>
              </c:numCache>
            </c:numRef>
          </c:yVal>
          <c:smooth val="0"/>
          <c:extLst>
            <c:ext xmlns:c16="http://schemas.microsoft.com/office/drawing/2014/chart" uri="{C3380CC4-5D6E-409C-BE32-E72D297353CC}">
              <c16:uniqueId val="{00000002-0C6B-4FDA-B446-BADCAC55B238}"/>
            </c:ext>
          </c:extLst>
        </c:ser>
        <c:ser>
          <c:idx val="2"/>
          <c:order val="2"/>
          <c:tx>
            <c:v>Simple Fcy Cutoff</c:v>
          </c:tx>
          <c:spPr>
            <a:ln w="19050">
              <a:solidFill>
                <a:schemeClr val="bg1">
                  <a:lumMod val="50000"/>
                </a:schemeClr>
              </a:solidFill>
              <a:prstDash val="dash"/>
            </a:ln>
          </c:spPr>
          <c:marker>
            <c:symbol val="none"/>
          </c:marker>
          <c:xVal>
            <c:numRef>
              <c:f>SIMPLE!$AH$93:$AH$95</c:f>
              <c:numCache>
                <c:formatCode>0</c:formatCode>
                <c:ptCount val="3"/>
                <c:pt idx="0" formatCode="General">
                  <c:v>0</c:v>
                </c:pt>
                <c:pt idx="1">
                  <c:v>53000</c:v>
                </c:pt>
                <c:pt idx="2">
                  <c:v>2014935.5819624227</c:v>
                </c:pt>
              </c:numCache>
            </c:numRef>
          </c:xVal>
          <c:yVal>
            <c:numRef>
              <c:f>SIMPLE!$AI$93:$AI$95</c:f>
              <c:numCache>
                <c:formatCode>0</c:formatCode>
                <c:ptCount val="3"/>
                <c:pt idx="0" formatCode="General">
                  <c:v>0</c:v>
                </c:pt>
                <c:pt idx="1">
                  <c:v>53000</c:v>
                </c:pt>
                <c:pt idx="2">
                  <c:v>53000</c:v>
                </c:pt>
              </c:numCache>
            </c:numRef>
          </c:yVal>
          <c:smooth val="0"/>
          <c:extLst>
            <c:ext xmlns:c16="http://schemas.microsoft.com/office/drawing/2014/chart" uri="{C3380CC4-5D6E-409C-BE32-E72D297353CC}">
              <c16:uniqueId val="{00000003-0C6B-4FDA-B446-BADCAC55B238}"/>
            </c:ext>
          </c:extLst>
        </c:ser>
        <c:ser>
          <c:idx val="3"/>
          <c:order val="3"/>
          <c:spPr>
            <a:ln w="15875">
              <a:solidFill>
                <a:srgbClr val="FF0000"/>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4-0C6B-4FDA-B446-BADCAC55B238}"/>
                </c:ext>
              </c:extLst>
            </c:dLbl>
            <c:numFmt formatCode="#,##0" sourceLinked="0"/>
            <c:spPr>
              <a:noFill/>
              <a:ln>
                <a:noFill/>
              </a:ln>
              <a:effectLst/>
            </c:spPr>
            <c:txPr>
              <a:bodyPr wrap="square" lIns="38100" tIns="19050" rIns="38100" bIns="19050" anchor="ctr">
                <a:spAutoFit/>
              </a:bodyPr>
              <a:lstStyle/>
              <a:p>
                <a:pPr>
                  <a:defRPr>
                    <a:solidFill>
                      <a:srgbClr val="FF0000"/>
                    </a:solidFill>
                  </a:defRPr>
                </a:pPr>
                <a:endParaRPr lang="en-U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SIMPLE!$AH$88:$AH$89</c:f>
              <c:numCache>
                <c:formatCode>General</c:formatCode>
                <c:ptCount val="2"/>
                <c:pt idx="0" formatCode="0">
                  <c:v>172997.39804037751</c:v>
                </c:pt>
                <c:pt idx="1">
                  <c:v>0</c:v>
                </c:pt>
              </c:numCache>
            </c:numRef>
          </c:xVal>
          <c:yVal>
            <c:numRef>
              <c:f>SIMPLE!$AI$88:$AI$89</c:f>
              <c:numCache>
                <c:formatCode>General</c:formatCode>
                <c:ptCount val="2"/>
                <c:pt idx="0">
                  <c:v>55073.157223545495</c:v>
                </c:pt>
                <c:pt idx="1">
                  <c:v>55073.157223545495</c:v>
                </c:pt>
              </c:numCache>
            </c:numRef>
          </c:yVal>
          <c:smooth val="0"/>
          <c:extLst>
            <c:ext xmlns:c16="http://schemas.microsoft.com/office/drawing/2014/chart" uri="{C3380CC4-5D6E-409C-BE32-E72D297353CC}">
              <c16:uniqueId val="{00000005-0C6B-4FDA-B446-BADCAC55B238}"/>
            </c:ext>
          </c:extLst>
        </c:ser>
        <c:dLbls>
          <c:showLegendKey val="0"/>
          <c:showVal val="0"/>
          <c:showCatName val="0"/>
          <c:showSerName val="0"/>
          <c:showPercent val="0"/>
          <c:showBubbleSize val="0"/>
        </c:dLbls>
        <c:axId val="537094680"/>
        <c:axId val="537091936"/>
      </c:scatterChart>
      <c:valAx>
        <c:axId val="537094680"/>
        <c:scaling>
          <c:orientation val="minMax"/>
          <c:max val="250000"/>
          <c:min val="0"/>
        </c:scaling>
        <c:delete val="0"/>
        <c:axPos val="b"/>
        <c:majorGridlines>
          <c:spPr>
            <a:ln w="3175">
              <a:solidFill>
                <a:schemeClr val="tx1">
                  <a:lumMod val="50000"/>
                  <a:lumOff val="50000"/>
                </a:schemeClr>
              </a:solidFill>
              <a:prstDash val="solid"/>
            </a:ln>
          </c:spPr>
        </c:majorGridlines>
        <c:title>
          <c:tx>
            <c:rich>
              <a:bodyPr/>
              <a:lstStyle/>
              <a:p>
                <a:pPr>
                  <a:defRPr/>
                </a:pPr>
                <a:r>
                  <a:rPr lang="en-CA"/>
                  <a:t>Elastic Compression Stress (psi)</a:t>
                </a:r>
              </a:p>
            </c:rich>
          </c:tx>
          <c:layout>
            <c:manualLayout>
              <c:xMode val="edge"/>
              <c:yMode val="edge"/>
              <c:x val="0.3638102751606932"/>
              <c:y val="0.9304134534729545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537091936"/>
        <c:crosses val="autoZero"/>
        <c:crossBetween val="midCat"/>
      </c:valAx>
      <c:valAx>
        <c:axId val="537091936"/>
        <c:scaling>
          <c:orientation val="minMax"/>
          <c:min val="0"/>
        </c:scaling>
        <c:delete val="0"/>
        <c:axPos val="l"/>
        <c:majorGridlines>
          <c:spPr>
            <a:ln w="3175">
              <a:solidFill>
                <a:schemeClr val="tx1">
                  <a:lumMod val="50000"/>
                  <a:lumOff val="50000"/>
                </a:schemeClr>
              </a:solidFill>
              <a:prstDash val="solid"/>
            </a:ln>
          </c:spPr>
        </c:majorGridlines>
        <c:title>
          <c:tx>
            <c:rich>
              <a:bodyPr/>
              <a:lstStyle/>
              <a:p>
                <a:pPr>
                  <a:defRPr/>
                </a:pPr>
                <a:r>
                  <a:rPr lang="en-CA"/>
                  <a:t>Plastic Compression Stress (psi)</a:t>
                </a:r>
              </a:p>
            </c:rich>
          </c:tx>
          <c:layout>
            <c:manualLayout>
              <c:xMode val="edge"/>
              <c:yMode val="edge"/>
              <c:x val="2.2857200653386606E-2"/>
              <c:y val="0.2087631571826722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537094680"/>
        <c:crosses val="autoZero"/>
        <c:crossBetween val="midCat"/>
      </c:valAx>
      <c:spPr>
        <a:noFill/>
        <a:ln w="25400">
          <a:noFill/>
        </a:ln>
      </c:spPr>
    </c:plotArea>
    <c:legend>
      <c:legendPos val="r"/>
      <c:legendEntry>
        <c:idx val="1"/>
        <c:delete val="1"/>
      </c:legendEntry>
      <c:legendEntry>
        <c:idx val="3"/>
        <c:delete val="1"/>
      </c:legendEntry>
      <c:layout>
        <c:manualLayout>
          <c:xMode val="edge"/>
          <c:yMode val="edge"/>
          <c:x val="0.6034803809260324"/>
          <c:y val="0.6171005815798416"/>
          <c:w val="0.32570729614987021"/>
          <c:h val="0.21379577828313126"/>
        </c:manualLayout>
      </c:layout>
      <c:overlay val="0"/>
      <c:spPr>
        <a:solidFill>
          <a:schemeClr val="bg1"/>
        </a:solidFill>
        <a:ln>
          <a:solidFill>
            <a:schemeClr val="bg1">
              <a:lumMod val="50000"/>
            </a:schemeClr>
          </a:solidFill>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mn-lt"/>
          <a:ea typeface="Arial"/>
          <a:cs typeface="Arial"/>
        </a:defRPr>
      </a:pPr>
      <a:endParaRPr lang="en-US"/>
    </a:p>
  </c:txPr>
  <c:printSettings>
    <c:headerFooter alignWithMargins="0"/>
    <c:pageMargins b="1" l="0.75000000000000155" r="0.75000000000000155" t="1" header="0.49212598450000072" footer="0.49212598450000072"/>
    <c:pageSetup orientation="landscape" horizontalDpi="1200" verticalDpi="120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http://www.abbottaerospace.com/" TargetMode="External"/><Relationship Id="rId7"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gif"/><Relationship Id="rId5" Type="http://schemas.openxmlformats.org/officeDocument/2006/relationships/hyperlink" Target="http://www.abbottaerospace.com/technical-library/donate/" TargetMode="External"/><Relationship Id="rId4"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60</xdr:row>
          <xdr:rowOff>0</xdr:rowOff>
        </xdr:from>
        <xdr:to>
          <xdr:col>5</xdr:col>
          <xdr:colOff>99060</xdr:colOff>
          <xdr:row>60</xdr:row>
          <xdr:rowOff>0</xdr:rowOff>
        </xdr:to>
        <xdr:sp macro="" textlink="">
          <xdr:nvSpPr>
            <xdr:cNvPr id="154625" name="Object 1" hidden="1">
              <a:extLst>
                <a:ext uri="{63B3BB69-23CF-44E3-9099-C40C66FF867C}">
                  <a14:compatExt spid="_x0000_s154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336626</xdr:colOff>
      <xdr:row>2</xdr:row>
      <xdr:rowOff>86827</xdr:rowOff>
    </xdr:from>
    <xdr:to>
      <xdr:col>36</xdr:col>
      <xdr:colOff>40428</xdr:colOff>
      <xdr:row>9</xdr:row>
      <xdr:rowOff>102197</xdr:rowOff>
    </xdr:to>
    <xdr:grpSp>
      <xdr:nvGrpSpPr>
        <xdr:cNvPr id="4" name="Group 3"/>
        <xdr:cNvGrpSpPr/>
      </xdr:nvGrpSpPr>
      <xdr:grpSpPr>
        <a:xfrm>
          <a:off x="16959112" y="435170"/>
          <a:ext cx="2806230" cy="1234570"/>
          <a:chOff x="1306286" y="737667"/>
          <a:chExt cx="7891502" cy="3442447"/>
        </a:xfrm>
      </xdr:grpSpPr>
      <xdr:grpSp>
        <xdr:nvGrpSpPr>
          <xdr:cNvPr id="5" name="Group 4"/>
          <xdr:cNvGrpSpPr/>
        </xdr:nvGrpSpPr>
        <xdr:grpSpPr>
          <a:xfrm>
            <a:off x="2612571" y="1306286"/>
            <a:ext cx="5486400" cy="2612572"/>
            <a:chOff x="2599765" y="1299882"/>
            <a:chExt cx="5459506" cy="2599766"/>
          </a:xfrm>
        </xdr:grpSpPr>
        <xdr:cxnSp macro="">
          <xdr:nvCxnSpPr>
            <xdr:cNvPr id="17" name="Straight Connector 16"/>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 name="Straight Connector 17"/>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6" name="Straight Connector 5"/>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Straight Connector 6"/>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 name="TextBox 11"/>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13" name="TextBox 12"/>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14" name="TextBox 13"/>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15" name="Straight Connector 14"/>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5</xdr:col>
          <xdr:colOff>76200</xdr:colOff>
          <xdr:row>30</xdr:row>
          <xdr:rowOff>152400</xdr:rowOff>
        </xdr:from>
        <xdr:to>
          <xdr:col>5</xdr:col>
          <xdr:colOff>99060</xdr:colOff>
          <xdr:row>30</xdr:row>
          <xdr:rowOff>152400</xdr:rowOff>
        </xdr:to>
        <xdr:sp macro="" textlink="">
          <xdr:nvSpPr>
            <xdr:cNvPr id="154626" name="Object 2" hidden="1">
              <a:extLst>
                <a:ext uri="{63B3BB69-23CF-44E3-9099-C40C66FF867C}">
                  <a14:compatExt spid="_x0000_s154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26</xdr:row>
      <xdr:rowOff>0</xdr:rowOff>
    </xdr:from>
    <xdr:to>
      <xdr:col>7</xdr:col>
      <xdr:colOff>373517</xdr:colOff>
      <xdr:row>39</xdr:row>
      <xdr:rowOff>163286</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320297</xdr:colOff>
      <xdr:row>14</xdr:row>
      <xdr:rowOff>132547</xdr:rowOff>
    </xdr:from>
    <xdr:to>
      <xdr:col>5</xdr:col>
      <xdr:colOff>100299</xdr:colOff>
      <xdr:row>21</xdr:row>
      <xdr:rowOff>147918</xdr:rowOff>
    </xdr:to>
    <xdr:grpSp>
      <xdr:nvGrpSpPr>
        <xdr:cNvPr id="29" name="Group 28"/>
        <xdr:cNvGrpSpPr/>
      </xdr:nvGrpSpPr>
      <xdr:grpSpPr>
        <a:xfrm>
          <a:off x="320297" y="2581833"/>
          <a:ext cx="2882431" cy="1256342"/>
          <a:chOff x="1306286" y="737667"/>
          <a:chExt cx="7891502" cy="3442447"/>
        </a:xfrm>
      </xdr:grpSpPr>
      <xdr:grpSp>
        <xdr:nvGrpSpPr>
          <xdr:cNvPr id="30" name="Group 29"/>
          <xdr:cNvGrpSpPr/>
        </xdr:nvGrpSpPr>
        <xdr:grpSpPr>
          <a:xfrm>
            <a:off x="2612571" y="1306286"/>
            <a:ext cx="5486400" cy="2612572"/>
            <a:chOff x="2599765" y="1299882"/>
            <a:chExt cx="5459506" cy="2599766"/>
          </a:xfrm>
        </xdr:grpSpPr>
        <xdr:cxnSp macro="">
          <xdr:nvCxnSpPr>
            <xdr:cNvPr id="42" name="Straight Connector 41"/>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 name="Straight Connector 42"/>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4" name="Straight Connector 43"/>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 name="Straight Connector 44"/>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 name="Straight Connector 45"/>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 name="Straight Connector 46"/>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 name="Straight Connector 47"/>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9" name="Straight Connector 48"/>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 name="Straight Connector 49"/>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1" name="Straight Connector 30"/>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 name="Straight Connector 31"/>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 name="Straight Connector 32"/>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 name="Straight Connector 33"/>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 name="Straight Connector 34"/>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36" name="Straight Connector 35"/>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37" name="TextBox 36"/>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38" name="TextBox 37"/>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39" name="TextBox 38"/>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40" name="Straight Connector 39"/>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41" name="Straight Connector 40"/>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5</xdr:col>
          <xdr:colOff>76200</xdr:colOff>
          <xdr:row>60</xdr:row>
          <xdr:rowOff>0</xdr:rowOff>
        </xdr:from>
        <xdr:to>
          <xdr:col>5</xdr:col>
          <xdr:colOff>99060</xdr:colOff>
          <xdr:row>60</xdr:row>
          <xdr:rowOff>0</xdr:rowOff>
        </xdr:to>
        <xdr:sp macro="" textlink="">
          <xdr:nvSpPr>
            <xdr:cNvPr id="154628" name="Object 4" hidden="1">
              <a:extLst>
                <a:ext uri="{63B3BB69-23CF-44E3-9099-C40C66FF867C}">
                  <a14:compatExt spid="_x0000_s154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449580</xdr:colOff>
      <xdr:row>40</xdr:row>
      <xdr:rowOff>12447</xdr:rowOff>
    </xdr:from>
    <xdr:to>
      <xdr:col>7</xdr:col>
      <xdr:colOff>365760</xdr:colOff>
      <xdr:row>53</xdr:row>
      <xdr:rowOff>121920</xdr:rowOff>
    </xdr:to>
    <xdr:graphicFrame macro="">
      <xdr:nvGraphicFramePr>
        <xdr:cNvPr id="76" name="Chart 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40822</xdr:colOff>
      <xdr:row>7</xdr:row>
      <xdr:rowOff>40821</xdr:rowOff>
    </xdr:from>
    <xdr:to>
      <xdr:col>4</xdr:col>
      <xdr:colOff>66675</xdr:colOff>
      <xdr:row>10</xdr:row>
      <xdr:rowOff>145236</xdr:rowOff>
    </xdr:to>
    <xdr:grpSp>
      <xdr:nvGrpSpPr>
        <xdr:cNvPr id="55" name="Group 54"/>
        <xdr:cNvGrpSpPr/>
      </xdr:nvGrpSpPr>
      <xdr:grpSpPr>
        <a:xfrm>
          <a:off x="40822" y="1260021"/>
          <a:ext cx="2507796" cy="626929"/>
          <a:chOff x="40822" y="1267641"/>
          <a:chExt cx="2570933" cy="630195"/>
        </a:xfrm>
      </xdr:grpSpPr>
      <xdr:pic>
        <xdr:nvPicPr>
          <xdr:cNvPr id="56" name="Picture 55">
            <a:hlinkClick xmlns:r="http://schemas.openxmlformats.org/officeDocument/2006/relationships" r:id="rId3"/>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57" name="Picture 56" descr="PayPal - The safer, easier way to pay online!">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mc:AlternateContent xmlns:mc="http://schemas.openxmlformats.org/markup-compatibility/2006">
    <mc:Choice xmlns:a14="http://schemas.microsoft.com/office/drawing/2010/main" Requires="a14">
      <xdr:twoCellAnchor editAs="oneCell">
        <xdr:from>
          <xdr:col>5</xdr:col>
          <xdr:colOff>76200</xdr:colOff>
          <xdr:row>84</xdr:row>
          <xdr:rowOff>152400</xdr:rowOff>
        </xdr:from>
        <xdr:to>
          <xdr:col>5</xdr:col>
          <xdr:colOff>99060</xdr:colOff>
          <xdr:row>84</xdr:row>
          <xdr:rowOff>152400</xdr:rowOff>
        </xdr:to>
        <xdr:sp macro="" textlink="">
          <xdr:nvSpPr>
            <xdr:cNvPr id="154629" name="Object 5" hidden="1">
              <a:extLst>
                <a:ext uri="{63B3BB69-23CF-44E3-9099-C40C66FF867C}">
                  <a14:compatExt spid="_x0000_s154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32657</xdr:colOff>
      <xdr:row>83</xdr:row>
      <xdr:rowOff>163286</xdr:rowOff>
    </xdr:from>
    <xdr:to>
      <xdr:col>10</xdr:col>
      <xdr:colOff>231561</xdr:colOff>
      <xdr:row>104</xdr:row>
      <xdr:rowOff>66676</xdr:rowOff>
    </xdr:to>
    <xdr:graphicFrame macro="">
      <xdr:nvGraphicFramePr>
        <xdr:cNvPr id="5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xdr:from>
      <xdr:col>0</xdr:col>
      <xdr:colOff>40822</xdr:colOff>
      <xdr:row>60</xdr:row>
      <xdr:rowOff>40821</xdr:rowOff>
    </xdr:from>
    <xdr:to>
      <xdr:col>4</xdr:col>
      <xdr:colOff>66675</xdr:colOff>
      <xdr:row>63</xdr:row>
      <xdr:rowOff>145236</xdr:rowOff>
    </xdr:to>
    <xdr:grpSp>
      <xdr:nvGrpSpPr>
        <xdr:cNvPr id="61" name="Group 60"/>
        <xdr:cNvGrpSpPr/>
      </xdr:nvGrpSpPr>
      <xdr:grpSpPr>
        <a:xfrm>
          <a:off x="40822" y="10610850"/>
          <a:ext cx="2507796" cy="626929"/>
          <a:chOff x="40822" y="1267641"/>
          <a:chExt cx="2570933" cy="630195"/>
        </a:xfrm>
      </xdr:grpSpPr>
      <xdr:pic>
        <xdr:nvPicPr>
          <xdr:cNvPr id="62" name="Picture 61">
            <a:hlinkClick xmlns:r="http://schemas.openxmlformats.org/officeDocument/2006/relationships" r:id="rId3"/>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3" name="Picture 62" descr="PayPal - The safer, easier way to pay online!">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2</xdr:col>
      <xdr:colOff>0</xdr:colOff>
      <xdr:row>80</xdr:row>
      <xdr:rowOff>0</xdr:rowOff>
    </xdr:from>
    <xdr:to>
      <xdr:col>8</xdr:col>
      <xdr:colOff>118334</xdr:colOff>
      <xdr:row>83</xdr:row>
      <xdr:rowOff>60961</xdr:rowOff>
    </xdr:to>
    <xdr:pic>
      <xdr:nvPicPr>
        <xdr:cNvPr id="64" name="Picture 63"/>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40971" y="14216743"/>
          <a:ext cx="3841249" cy="58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13" Type="http://schemas.openxmlformats.org/officeDocument/2006/relationships/oleObject" Target="../embeddings/oleObject3.bin"/><Relationship Id="rId3" Type="http://schemas.openxmlformats.org/officeDocument/2006/relationships/hyperlink" Target="http://www.abbottaerospace.com/wpdm-package/naca-tn-3781-handbook-of-structural-stability-part-i-buckling-of-flat-plates" TargetMode="External"/><Relationship Id="rId7" Type="http://schemas.openxmlformats.org/officeDocument/2006/relationships/printerSettings" Target="../printerSettings/printerSettings2.bin"/><Relationship Id="rId12" Type="http://schemas.openxmlformats.org/officeDocument/2006/relationships/oleObject" Target="../embeddings/oleObject2.bin"/><Relationship Id="rId2" Type="http://schemas.openxmlformats.org/officeDocument/2006/relationships/hyperlink" Target="http://www.xl-viking.com/" TargetMode="External"/><Relationship Id="rId1" Type="http://schemas.openxmlformats.org/officeDocument/2006/relationships/hyperlink" Target="http://www.xl-viking.com/" TargetMode="External"/><Relationship Id="rId6" Type="http://schemas.openxmlformats.org/officeDocument/2006/relationships/hyperlink" Target="http://www.abbottaerospace.com/wpdm-package/naca-report-734-critical-compressive-stress-for-outstanding-flanges" TargetMode="External"/><Relationship Id="rId11" Type="http://schemas.openxmlformats.org/officeDocument/2006/relationships/image" Target="../media/image4.emf"/><Relationship Id="rId5" Type="http://schemas.openxmlformats.org/officeDocument/2006/relationships/hyperlink" Target="http://www.abbottaerospace.com/wpdm-package/naca-tn-3781-handbook-of-structural-stability-part-i-buckling-of-flat-plates" TargetMode="External"/><Relationship Id="rId15" Type="http://schemas.openxmlformats.org/officeDocument/2006/relationships/comments" Target="../comments1.xml"/><Relationship Id="rId10" Type="http://schemas.openxmlformats.org/officeDocument/2006/relationships/oleObject" Target="../embeddings/oleObject1.bin"/><Relationship Id="rId4" Type="http://schemas.openxmlformats.org/officeDocument/2006/relationships/hyperlink" Target="http://www.abbottaerospace.com/wpdm-package/naca-report-734-critical-compressive-stress-for-outstanding-flanges" TargetMode="External"/><Relationship Id="rId9" Type="http://schemas.openxmlformats.org/officeDocument/2006/relationships/vmlDrawing" Target="../drawings/vmlDrawing2.vml"/><Relationship Id="rId14" Type="http://schemas.openxmlformats.org/officeDocument/2006/relationships/oleObject" Target="../embeddings/oleObject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60"/>
    <col min="3" max="3" width="10.6640625" style="60" bestFit="1" customWidth="1"/>
    <col min="4" max="11" width="9.109375" style="60"/>
    <col min="12" max="12" width="5.44140625" style="43" customWidth="1"/>
    <col min="13" max="17" width="5.33203125" style="49" customWidth="1"/>
    <col min="18" max="19" width="5.33203125" style="50" customWidth="1"/>
    <col min="20" max="25" width="9.109375" style="63"/>
    <col min="26" max="16384" width="9.109375" style="60"/>
  </cols>
  <sheetData>
    <row r="1" spans="1:25" s="43" customFormat="1" ht="13.8" x14ac:dyDescent="0.3">
      <c r="A1" s="39"/>
      <c r="B1" s="40" t="s">
        <v>6</v>
      </c>
      <c r="C1" s="41" t="s">
        <v>4</v>
      </c>
      <c r="D1" s="39"/>
      <c r="E1" s="39"/>
      <c r="F1" s="40" t="s">
        <v>19</v>
      </c>
      <c r="G1" s="42"/>
      <c r="H1" s="39"/>
      <c r="I1" s="39"/>
      <c r="J1" s="39"/>
      <c r="K1" s="39"/>
      <c r="M1" s="44"/>
      <c r="N1" s="44"/>
      <c r="O1" s="44"/>
      <c r="P1" s="44"/>
      <c r="Q1" s="44"/>
      <c r="R1" s="44"/>
      <c r="S1" s="44"/>
      <c r="T1" s="45"/>
      <c r="U1" s="45"/>
      <c r="V1" s="45"/>
      <c r="W1" s="46"/>
      <c r="X1" s="47"/>
      <c r="Y1" s="45"/>
    </row>
    <row r="2" spans="1:25" s="43" customFormat="1" ht="13.8" x14ac:dyDescent="0.3">
      <c r="A2" s="39"/>
      <c r="B2" s="40" t="s">
        <v>7</v>
      </c>
      <c r="C2" s="41" t="s">
        <v>8</v>
      </c>
      <c r="D2" s="39"/>
      <c r="E2" s="39"/>
      <c r="F2" s="40" t="s">
        <v>9</v>
      </c>
      <c r="G2" s="41"/>
      <c r="H2" s="39"/>
      <c r="I2" s="39"/>
      <c r="J2" s="39"/>
      <c r="K2" s="39"/>
      <c r="M2" s="44"/>
      <c r="N2" s="44"/>
      <c r="O2" s="44"/>
      <c r="P2" s="44"/>
      <c r="Q2" s="44"/>
      <c r="R2" s="44"/>
      <c r="S2" s="44"/>
      <c r="T2" s="45"/>
      <c r="U2" s="45"/>
      <c r="V2" s="45"/>
      <c r="W2" s="46"/>
      <c r="X2" s="47"/>
      <c r="Y2" s="45"/>
    </row>
    <row r="3" spans="1:25" s="43" customFormat="1" ht="13.8" x14ac:dyDescent="0.3">
      <c r="A3" s="39"/>
      <c r="B3" s="40" t="s">
        <v>0</v>
      </c>
      <c r="C3" s="48"/>
      <c r="D3" s="39"/>
      <c r="E3" s="39"/>
      <c r="F3" s="40" t="s">
        <v>1</v>
      </c>
      <c r="G3" s="41"/>
      <c r="H3" s="39"/>
      <c r="I3" s="39"/>
      <c r="J3" s="39"/>
      <c r="K3" s="39"/>
      <c r="M3" s="44"/>
      <c r="N3" s="44"/>
      <c r="O3" s="44"/>
      <c r="P3" s="44"/>
      <c r="Q3" s="44"/>
      <c r="R3" s="44"/>
      <c r="S3" s="44"/>
      <c r="T3" s="45"/>
      <c r="U3" s="45"/>
      <c r="V3" s="45"/>
      <c r="W3" s="46"/>
      <c r="X3" s="47"/>
      <c r="Y3" s="45"/>
    </row>
    <row r="4" spans="1:25" s="43" customFormat="1" ht="13.8" x14ac:dyDescent="0.3">
      <c r="A4" s="39"/>
      <c r="B4" s="40" t="s">
        <v>22</v>
      </c>
      <c r="C4" s="42"/>
      <c r="D4" s="39"/>
      <c r="E4" s="39"/>
      <c r="F4" s="40" t="s">
        <v>23</v>
      </c>
      <c r="G4" s="41" t="s">
        <v>24</v>
      </c>
      <c r="H4" s="39"/>
      <c r="I4" s="39"/>
      <c r="J4" s="39"/>
      <c r="K4" s="39"/>
      <c r="M4" s="44"/>
      <c r="N4" s="44"/>
      <c r="O4" s="44"/>
      <c r="P4" s="44"/>
      <c r="Q4" s="49"/>
      <c r="R4" s="50"/>
      <c r="S4" s="50"/>
      <c r="T4" s="45"/>
      <c r="U4" s="45"/>
      <c r="V4" s="45"/>
      <c r="W4" s="46"/>
      <c r="X4" s="47"/>
      <c r="Y4" s="45"/>
    </row>
    <row r="5" spans="1:25" s="43" customFormat="1" ht="13.8" x14ac:dyDescent="0.3">
      <c r="A5" s="39"/>
      <c r="B5" s="40" t="s">
        <v>25</v>
      </c>
      <c r="C5" s="42"/>
      <c r="D5" s="39"/>
      <c r="E5" s="40"/>
      <c r="F5" s="39"/>
      <c r="G5" s="39"/>
      <c r="H5" s="39"/>
      <c r="I5" s="39"/>
      <c r="J5" s="39"/>
      <c r="K5" s="39"/>
      <c r="M5" s="44"/>
      <c r="N5" s="44"/>
      <c r="O5" s="44"/>
      <c r="P5" s="44"/>
      <c r="Q5" s="49"/>
      <c r="R5" s="50"/>
      <c r="S5" s="50"/>
      <c r="T5" s="45"/>
      <c r="U5" s="45"/>
      <c r="V5" s="45"/>
      <c r="W5" s="46"/>
      <c r="X5" s="47"/>
      <c r="Y5" s="45"/>
    </row>
    <row r="6" spans="1:25" s="43" customFormat="1" ht="13.8" x14ac:dyDescent="0.3">
      <c r="A6" s="39"/>
      <c r="B6" s="39" t="s">
        <v>10</v>
      </c>
      <c r="C6" s="51"/>
      <c r="D6" s="39"/>
      <c r="E6" s="39"/>
      <c r="F6" s="39"/>
      <c r="G6" s="39"/>
      <c r="H6" s="39"/>
      <c r="I6" s="39"/>
      <c r="J6" s="39"/>
      <c r="K6" s="39"/>
      <c r="M6" s="44"/>
      <c r="N6" s="44"/>
      <c r="O6" s="44"/>
      <c r="P6" s="44"/>
      <c r="Q6" s="49"/>
      <c r="R6" s="50"/>
      <c r="S6" s="50"/>
      <c r="T6" s="45"/>
      <c r="U6" s="45"/>
      <c r="V6" s="45"/>
      <c r="W6" s="46"/>
      <c r="X6" s="47"/>
      <c r="Y6" s="45"/>
    </row>
    <row r="7" spans="1:25" s="43" customFormat="1" ht="13.8" x14ac:dyDescent="0.3">
      <c r="A7" s="39"/>
      <c r="B7" s="39"/>
      <c r="C7" s="39"/>
      <c r="D7" s="39"/>
      <c r="E7" s="39"/>
      <c r="F7" s="39"/>
      <c r="G7" s="39"/>
      <c r="H7" s="39"/>
      <c r="I7" s="39"/>
      <c r="J7" s="39"/>
      <c r="K7" s="39"/>
      <c r="M7" s="44"/>
      <c r="N7" s="44"/>
      <c r="O7" s="44"/>
      <c r="P7" s="44"/>
      <c r="Q7" s="49"/>
      <c r="R7" s="50"/>
      <c r="S7" s="50"/>
      <c r="T7" s="45"/>
      <c r="U7" s="45"/>
      <c r="V7" s="45"/>
      <c r="W7" s="46"/>
      <c r="X7" s="47"/>
      <c r="Y7" s="45"/>
    </row>
    <row r="8" spans="1:25" s="43" customFormat="1" ht="13.8" x14ac:dyDescent="0.3">
      <c r="A8" s="52"/>
      <c r="E8" s="53"/>
      <c r="F8" s="54"/>
      <c r="H8" s="55"/>
      <c r="I8" s="53"/>
      <c r="J8" s="56"/>
      <c r="K8" s="57"/>
      <c r="L8" s="58"/>
      <c r="M8" s="44"/>
      <c r="N8" s="44"/>
      <c r="O8" s="44"/>
      <c r="P8" s="44"/>
      <c r="Q8" s="49"/>
      <c r="R8" s="50"/>
      <c r="S8" s="50"/>
      <c r="T8" s="45"/>
      <c r="U8" s="45"/>
      <c r="V8" s="45"/>
      <c r="W8" s="45"/>
      <c r="X8" s="45"/>
      <c r="Y8" s="45"/>
    </row>
    <row r="9" spans="1:25" s="43" customFormat="1" ht="13.8" x14ac:dyDescent="0.3">
      <c r="E9" s="53"/>
      <c r="F9" s="55"/>
      <c r="H9" s="55"/>
      <c r="I9" s="53"/>
      <c r="J9" s="57"/>
      <c r="K9" s="57"/>
      <c r="L9" s="58"/>
      <c r="M9" s="44"/>
      <c r="N9" s="44"/>
      <c r="O9" s="44"/>
      <c r="P9" s="44"/>
      <c r="Q9" s="49"/>
      <c r="R9" s="50"/>
      <c r="S9" s="50"/>
      <c r="T9" s="45"/>
      <c r="U9" s="45"/>
      <c r="V9" s="45"/>
      <c r="W9" s="45"/>
      <c r="X9" s="45"/>
      <c r="Y9" s="45"/>
    </row>
    <row r="10" spans="1:25" s="43" customFormat="1" ht="13.8" x14ac:dyDescent="0.3">
      <c r="E10" s="53"/>
      <c r="F10" s="55"/>
      <c r="H10" s="55"/>
      <c r="I10" s="53"/>
      <c r="J10" s="54"/>
      <c r="K10" s="55"/>
      <c r="L10" s="58"/>
      <c r="M10" s="44"/>
      <c r="N10" s="44"/>
      <c r="O10" s="44"/>
      <c r="P10" s="44"/>
      <c r="Q10" s="49"/>
      <c r="R10" s="50"/>
      <c r="S10" s="50"/>
      <c r="T10" s="45"/>
      <c r="U10" s="45"/>
      <c r="V10" s="45"/>
      <c r="W10" s="45"/>
      <c r="X10" s="45"/>
      <c r="Y10" s="45"/>
    </row>
    <row r="11" spans="1:25" s="43" customFormat="1" ht="13.8" x14ac:dyDescent="0.3">
      <c r="E11" s="53"/>
      <c r="F11" s="55"/>
      <c r="I11" s="59"/>
      <c r="J11" s="54"/>
      <c r="M11" s="44"/>
      <c r="N11" s="44"/>
      <c r="O11" s="44"/>
      <c r="P11" s="44"/>
      <c r="Q11" s="44"/>
      <c r="R11" s="44"/>
      <c r="S11" s="44"/>
      <c r="T11" s="45"/>
      <c r="U11" s="45"/>
      <c r="V11" s="45"/>
      <c r="W11" s="45"/>
      <c r="X11" s="45"/>
      <c r="Y11" s="45"/>
    </row>
    <row r="12" spans="1:25" x14ac:dyDescent="0.3">
      <c r="C12" s="61" t="str">
        <f>G4</f>
        <v>IMPORTANT INFORMATION</v>
      </c>
      <c r="M12" s="44"/>
      <c r="N12" s="44"/>
      <c r="O12" s="44"/>
      <c r="P12" s="44"/>
      <c r="Q12" s="62"/>
      <c r="R12" s="62"/>
      <c r="S12" s="62"/>
    </row>
    <row r="13" spans="1:25" s="43" customFormat="1" ht="13.8" x14ac:dyDescent="0.3">
      <c r="M13" s="44"/>
      <c r="N13" s="44"/>
      <c r="O13" s="44"/>
      <c r="P13" s="44"/>
      <c r="Q13" s="44"/>
      <c r="R13" s="44"/>
      <c r="S13" s="44"/>
      <c r="T13" s="45"/>
      <c r="U13" s="45"/>
      <c r="V13" s="45"/>
      <c r="W13" s="45"/>
      <c r="X13" s="45"/>
      <c r="Y13" s="45"/>
    </row>
    <row r="14" spans="1:25" s="43" customFormat="1" ht="13.8" x14ac:dyDescent="0.3">
      <c r="B14" s="64" t="s">
        <v>27</v>
      </c>
      <c r="M14" s="44"/>
      <c r="N14" s="44"/>
      <c r="O14" s="44"/>
      <c r="P14" s="44"/>
      <c r="Q14" s="44"/>
      <c r="R14" s="44"/>
      <c r="S14" s="44"/>
      <c r="T14" s="45"/>
      <c r="U14" s="45"/>
      <c r="V14" s="45"/>
      <c r="W14" s="45"/>
      <c r="X14" s="45"/>
      <c r="Y14" s="45"/>
    </row>
    <row r="15" spans="1:25" s="43" customFormat="1" ht="13.8" x14ac:dyDescent="0.3">
      <c r="A15" s="65"/>
      <c r="K15" s="65"/>
      <c r="M15" s="49"/>
      <c r="N15" s="49"/>
      <c r="O15" s="49"/>
      <c r="P15" s="49"/>
      <c r="Q15" s="49"/>
      <c r="R15" s="50"/>
      <c r="S15" s="50"/>
      <c r="T15" s="45"/>
      <c r="U15" s="45"/>
      <c r="V15" s="45"/>
      <c r="W15" s="45"/>
      <c r="X15" s="45"/>
      <c r="Y15" s="45"/>
    </row>
    <row r="16" spans="1:25" s="43" customFormat="1" ht="12.75" customHeight="1" x14ac:dyDescent="0.3">
      <c r="B16" s="141" t="s">
        <v>46</v>
      </c>
      <c r="C16" s="141"/>
      <c r="D16" s="141"/>
      <c r="E16" s="141"/>
      <c r="F16" s="141"/>
      <c r="G16" s="141"/>
      <c r="H16" s="141"/>
      <c r="I16" s="141"/>
      <c r="J16" s="141"/>
      <c r="M16" s="49"/>
      <c r="N16" s="49"/>
      <c r="O16" s="49"/>
      <c r="P16" s="49"/>
      <c r="Q16" s="49"/>
      <c r="R16" s="50"/>
      <c r="S16" s="50"/>
      <c r="T16" s="45"/>
      <c r="U16" s="45"/>
      <c r="V16" s="45"/>
      <c r="W16" s="45"/>
      <c r="X16" s="45"/>
      <c r="Y16" s="45"/>
    </row>
    <row r="17" spans="1:25" s="43" customFormat="1" ht="13.8" x14ac:dyDescent="0.3">
      <c r="B17" s="141"/>
      <c r="C17" s="141"/>
      <c r="D17" s="141"/>
      <c r="E17" s="141"/>
      <c r="F17" s="141"/>
      <c r="G17" s="141"/>
      <c r="H17" s="141"/>
      <c r="I17" s="141"/>
      <c r="J17" s="141"/>
      <c r="M17" s="49"/>
      <c r="N17" s="49"/>
      <c r="O17" s="49"/>
      <c r="P17" s="49"/>
      <c r="Q17" s="49"/>
      <c r="R17" s="50"/>
      <c r="S17" s="50"/>
      <c r="T17" s="45"/>
      <c r="U17" s="45"/>
      <c r="V17" s="45"/>
      <c r="W17" s="45"/>
      <c r="X17" s="45"/>
      <c r="Y17" s="45"/>
    </row>
    <row r="18" spans="1:25" s="43" customFormat="1" ht="13.8" x14ac:dyDescent="0.3">
      <c r="B18" s="141"/>
      <c r="C18" s="141"/>
      <c r="D18" s="141"/>
      <c r="E18" s="141"/>
      <c r="F18" s="141"/>
      <c r="G18" s="141"/>
      <c r="H18" s="141"/>
      <c r="I18" s="141"/>
      <c r="J18" s="141"/>
      <c r="M18" s="49"/>
      <c r="N18" s="49"/>
      <c r="O18" s="49"/>
      <c r="P18" s="49"/>
      <c r="Q18" s="49"/>
      <c r="R18" s="50"/>
      <c r="S18" s="50"/>
      <c r="T18" s="45"/>
      <c r="U18" s="45"/>
      <c r="V18" s="45"/>
      <c r="W18" s="45"/>
      <c r="X18" s="45"/>
      <c r="Y18" s="45"/>
    </row>
    <row r="19" spans="1:25" s="43" customFormat="1" ht="13.8" x14ac:dyDescent="0.3">
      <c r="B19" s="141"/>
      <c r="C19" s="141"/>
      <c r="D19" s="141"/>
      <c r="E19" s="141"/>
      <c r="F19" s="141"/>
      <c r="G19" s="141"/>
      <c r="H19" s="141"/>
      <c r="I19" s="141"/>
      <c r="J19" s="141"/>
      <c r="M19" s="49"/>
      <c r="N19" s="49"/>
      <c r="O19" s="49"/>
      <c r="P19" s="49"/>
      <c r="Q19" s="49"/>
      <c r="R19" s="50"/>
      <c r="S19" s="50"/>
      <c r="T19" s="45"/>
      <c r="U19" s="45"/>
      <c r="V19" s="45"/>
      <c r="W19" s="45"/>
      <c r="X19" s="45"/>
      <c r="Y19" s="45"/>
    </row>
    <row r="20" spans="1:25" s="43" customFormat="1" ht="12.75" customHeight="1" x14ac:dyDescent="0.3">
      <c r="A20" s="65"/>
      <c r="B20" s="67" t="s">
        <v>44</v>
      </c>
      <c r="C20" s="65"/>
      <c r="D20" s="65"/>
      <c r="E20" s="65"/>
      <c r="F20" s="65"/>
      <c r="G20" s="65"/>
      <c r="H20" s="65"/>
      <c r="I20" s="65"/>
      <c r="J20" s="65"/>
      <c r="K20" s="65"/>
      <c r="M20" s="49"/>
      <c r="N20" s="49"/>
      <c r="O20" s="49"/>
      <c r="P20" s="49"/>
      <c r="Q20" s="49"/>
      <c r="R20" s="50"/>
      <c r="S20" s="50"/>
      <c r="T20" s="45"/>
      <c r="U20" s="45"/>
      <c r="V20" s="45"/>
      <c r="W20" s="45"/>
      <c r="X20" s="45"/>
      <c r="Y20" s="45"/>
    </row>
    <row r="21" spans="1:25" s="43" customFormat="1" ht="13.8" x14ac:dyDescent="0.3">
      <c r="A21" s="65"/>
      <c r="B21" s="67"/>
      <c r="C21" s="65"/>
      <c r="D21" s="65"/>
      <c r="E21" s="65"/>
      <c r="F21" s="65"/>
      <c r="G21" s="65"/>
      <c r="H21" s="65"/>
      <c r="I21" s="65"/>
      <c r="J21" s="65"/>
      <c r="K21" s="65"/>
      <c r="M21" s="49"/>
      <c r="N21" s="49"/>
      <c r="O21" s="49"/>
      <c r="P21" s="49"/>
      <c r="Q21" s="49"/>
      <c r="R21" s="50"/>
      <c r="S21" s="50"/>
      <c r="T21" s="45"/>
      <c r="U21" s="45"/>
      <c r="V21" s="45"/>
      <c r="W21" s="45"/>
      <c r="X21" s="45"/>
      <c r="Y21" s="45"/>
    </row>
    <row r="22" spans="1:25" s="43" customFormat="1" ht="13.8" x14ac:dyDescent="0.3">
      <c r="A22" s="65"/>
      <c r="B22" s="141" t="s">
        <v>47</v>
      </c>
      <c r="C22" s="141"/>
      <c r="D22" s="141"/>
      <c r="E22" s="141"/>
      <c r="F22" s="141"/>
      <c r="G22" s="141"/>
      <c r="H22" s="141"/>
      <c r="I22" s="141"/>
      <c r="J22" s="141"/>
      <c r="K22" s="65"/>
      <c r="M22" s="49"/>
      <c r="N22" s="49"/>
      <c r="O22" s="49"/>
      <c r="P22" s="49"/>
      <c r="Q22" s="49"/>
      <c r="R22" s="50"/>
      <c r="S22" s="50"/>
      <c r="T22" s="45"/>
      <c r="U22" s="45"/>
      <c r="V22" s="45"/>
      <c r="W22" s="45"/>
      <c r="X22" s="45"/>
      <c r="Y22" s="45"/>
    </row>
    <row r="23" spans="1:25" s="43" customFormat="1" ht="13.8" x14ac:dyDescent="0.3">
      <c r="A23" s="65"/>
      <c r="B23" s="141"/>
      <c r="C23" s="141"/>
      <c r="D23" s="141"/>
      <c r="E23" s="141"/>
      <c r="F23" s="141"/>
      <c r="G23" s="141"/>
      <c r="H23" s="141"/>
      <c r="I23" s="141"/>
      <c r="J23" s="141"/>
      <c r="K23" s="65"/>
      <c r="M23" s="49"/>
      <c r="N23" s="49"/>
      <c r="O23" s="49"/>
      <c r="P23" s="49"/>
      <c r="Q23" s="49"/>
      <c r="R23" s="50"/>
      <c r="S23" s="66"/>
      <c r="T23" s="45"/>
      <c r="U23" s="45"/>
      <c r="V23" s="45"/>
      <c r="W23" s="45"/>
      <c r="X23" s="45"/>
      <c r="Y23" s="45"/>
    </row>
    <row r="24" spans="1:25" s="43" customFormat="1" ht="13.8" x14ac:dyDescent="0.3">
      <c r="A24" s="65"/>
      <c r="B24" s="141"/>
      <c r="C24" s="141"/>
      <c r="D24" s="141"/>
      <c r="E24" s="141"/>
      <c r="F24" s="141"/>
      <c r="G24" s="141"/>
      <c r="H24" s="141"/>
      <c r="I24" s="141"/>
      <c r="J24" s="141"/>
      <c r="K24" s="65"/>
      <c r="M24" s="49"/>
      <c r="N24" s="49"/>
      <c r="O24" s="49"/>
      <c r="P24" s="49"/>
      <c r="Q24" s="49"/>
      <c r="R24" s="50"/>
      <c r="S24" s="66"/>
      <c r="T24" s="45"/>
      <c r="U24" s="45"/>
      <c r="V24" s="45"/>
      <c r="W24" s="45"/>
      <c r="X24" s="45"/>
      <c r="Y24" s="45"/>
    </row>
    <row r="25" spans="1:25" s="43" customFormat="1" ht="12.75" customHeight="1" x14ac:dyDescent="0.3">
      <c r="A25" s="65"/>
      <c r="B25" s="111"/>
      <c r="C25" s="111"/>
      <c r="D25" s="111"/>
      <c r="E25" s="111"/>
      <c r="F25" s="113" t="s">
        <v>69</v>
      </c>
      <c r="G25" s="111"/>
      <c r="H25" s="111"/>
      <c r="I25" s="111"/>
      <c r="J25" s="111"/>
      <c r="K25" s="65"/>
      <c r="M25" s="49"/>
      <c r="N25" s="49"/>
      <c r="O25" s="49"/>
      <c r="P25" s="49"/>
      <c r="Q25" s="49"/>
      <c r="R25" s="50"/>
      <c r="S25" s="50"/>
      <c r="T25" s="45"/>
      <c r="U25" s="45"/>
      <c r="V25" s="45"/>
      <c r="W25" s="45"/>
      <c r="X25" s="45"/>
      <c r="Y25" s="45"/>
    </row>
    <row r="26" spans="1:25" s="43" customFormat="1" ht="13.8" x14ac:dyDescent="0.3">
      <c r="A26" s="65"/>
      <c r="B26" s="141" t="s">
        <v>48</v>
      </c>
      <c r="C26" s="141"/>
      <c r="D26" s="141"/>
      <c r="E26" s="141"/>
      <c r="F26" s="141"/>
      <c r="G26" s="141"/>
      <c r="H26" s="141"/>
      <c r="I26" s="141"/>
      <c r="J26" s="141"/>
      <c r="K26" s="65"/>
      <c r="M26" s="49"/>
      <c r="N26" s="49"/>
      <c r="O26" s="49"/>
      <c r="P26" s="49"/>
      <c r="Q26" s="49"/>
      <c r="R26" s="50"/>
      <c r="S26" s="50"/>
      <c r="T26" s="45"/>
      <c r="U26" s="45"/>
      <c r="V26" s="45"/>
      <c r="W26" s="45"/>
      <c r="X26" s="45"/>
      <c r="Y26" s="45"/>
    </row>
    <row r="27" spans="1:25" s="43" customFormat="1" ht="13.8" x14ac:dyDescent="0.3">
      <c r="A27" s="65"/>
      <c r="B27" s="141"/>
      <c r="C27" s="141"/>
      <c r="D27" s="141"/>
      <c r="E27" s="141"/>
      <c r="F27" s="141"/>
      <c r="G27" s="141"/>
      <c r="H27" s="141"/>
      <c r="I27" s="141"/>
      <c r="J27" s="141"/>
      <c r="K27" s="65"/>
      <c r="M27" s="49"/>
      <c r="N27" s="49"/>
      <c r="O27" s="49"/>
      <c r="P27" s="49"/>
      <c r="Q27" s="49"/>
      <c r="R27" s="50"/>
      <c r="S27" s="50"/>
      <c r="T27" s="45"/>
      <c r="U27" s="45"/>
      <c r="V27" s="45"/>
      <c r="W27" s="45"/>
      <c r="X27" s="45"/>
      <c r="Y27" s="45"/>
    </row>
    <row r="28" spans="1:25" s="43" customFormat="1" ht="13.8" x14ac:dyDescent="0.3">
      <c r="A28" s="65"/>
      <c r="B28" s="111"/>
      <c r="C28" s="111"/>
      <c r="D28" s="111"/>
      <c r="E28" s="111"/>
      <c r="F28" s="111"/>
      <c r="G28" s="111"/>
      <c r="H28" s="111"/>
      <c r="I28" s="111"/>
      <c r="J28" s="111"/>
      <c r="K28" s="65"/>
      <c r="M28" s="49"/>
      <c r="N28" s="49"/>
      <c r="O28" s="49"/>
      <c r="P28" s="49"/>
      <c r="Q28" s="49"/>
      <c r="R28" s="50"/>
      <c r="S28" s="50"/>
      <c r="T28" s="45"/>
      <c r="U28" s="45"/>
      <c r="V28" s="45"/>
      <c r="W28" s="45"/>
      <c r="X28" s="45"/>
      <c r="Y28" s="45"/>
    </row>
    <row r="29" spans="1:25" s="43" customFormat="1" ht="13.8" x14ac:dyDescent="0.3">
      <c r="A29" s="65"/>
      <c r="B29" s="141" t="s">
        <v>49</v>
      </c>
      <c r="C29" s="141"/>
      <c r="D29" s="141"/>
      <c r="E29" s="141"/>
      <c r="F29" s="141"/>
      <c r="G29" s="141"/>
      <c r="H29" s="141"/>
      <c r="I29" s="141"/>
      <c r="J29" s="141"/>
      <c r="K29" s="65"/>
      <c r="M29" s="49"/>
      <c r="N29" s="49"/>
      <c r="O29" s="49"/>
      <c r="P29" s="49"/>
      <c r="Q29" s="49"/>
      <c r="R29" s="50"/>
      <c r="S29" s="50"/>
      <c r="T29" s="45"/>
      <c r="U29" s="45"/>
      <c r="V29" s="45"/>
      <c r="W29" s="45"/>
      <c r="X29" s="45"/>
      <c r="Y29" s="45"/>
    </row>
    <row r="30" spans="1:25" s="43" customFormat="1" ht="13.8" x14ac:dyDescent="0.3">
      <c r="A30" s="65"/>
      <c r="B30" s="141"/>
      <c r="C30" s="141"/>
      <c r="D30" s="141"/>
      <c r="E30" s="141"/>
      <c r="F30" s="141"/>
      <c r="G30" s="141"/>
      <c r="H30" s="141"/>
      <c r="I30" s="141"/>
      <c r="J30" s="141"/>
      <c r="K30" s="65"/>
      <c r="M30" s="49"/>
      <c r="N30" s="49"/>
      <c r="O30" s="49"/>
      <c r="P30" s="49"/>
      <c r="Q30" s="49"/>
      <c r="R30" s="50"/>
      <c r="S30" s="50"/>
      <c r="T30" s="45"/>
      <c r="U30" s="45"/>
      <c r="V30" s="45"/>
      <c r="W30" s="45"/>
      <c r="X30" s="45"/>
      <c r="Y30" s="45"/>
    </row>
    <row r="31" spans="1:25" s="43" customFormat="1" ht="12.75" customHeight="1" x14ac:dyDescent="0.3">
      <c r="A31" s="65"/>
      <c r="B31" s="141"/>
      <c r="C31" s="141"/>
      <c r="D31" s="141"/>
      <c r="E31" s="141"/>
      <c r="F31" s="141"/>
      <c r="G31" s="141"/>
      <c r="H31" s="141"/>
      <c r="I31" s="141"/>
      <c r="J31" s="141"/>
      <c r="K31" s="65"/>
      <c r="M31" s="49"/>
      <c r="N31" s="49"/>
      <c r="O31" s="49"/>
      <c r="P31" s="49"/>
      <c r="Q31" s="49"/>
      <c r="R31" s="50"/>
      <c r="S31" s="50"/>
      <c r="T31" s="45"/>
      <c r="U31" s="45"/>
      <c r="V31" s="45"/>
      <c r="W31" s="45"/>
      <c r="X31" s="45"/>
      <c r="Y31" s="45"/>
    </row>
    <row r="32" spans="1:25" s="43" customFormat="1" ht="13.8" x14ac:dyDescent="0.3">
      <c r="A32" s="65"/>
      <c r="B32" s="141"/>
      <c r="C32" s="141"/>
      <c r="D32" s="141"/>
      <c r="E32" s="141"/>
      <c r="F32" s="141"/>
      <c r="G32" s="141"/>
      <c r="H32" s="141"/>
      <c r="I32" s="141"/>
      <c r="J32" s="141"/>
      <c r="K32" s="65"/>
      <c r="M32" s="49"/>
      <c r="N32" s="49"/>
      <c r="O32" s="49"/>
      <c r="P32" s="49"/>
      <c r="Q32" s="49"/>
      <c r="R32" s="50"/>
      <c r="S32" s="50"/>
      <c r="T32" s="45"/>
      <c r="U32" s="45"/>
      <c r="V32" s="45"/>
      <c r="W32" s="45"/>
      <c r="X32" s="45"/>
      <c r="Y32" s="45"/>
    </row>
    <row r="33" spans="1:25" s="43" customFormat="1" ht="12.75" customHeight="1" x14ac:dyDescent="0.3">
      <c r="A33" s="65"/>
      <c r="B33" s="141"/>
      <c r="C33" s="141"/>
      <c r="D33" s="141"/>
      <c r="E33" s="141"/>
      <c r="F33" s="141"/>
      <c r="G33" s="141"/>
      <c r="H33" s="141"/>
      <c r="I33" s="141"/>
      <c r="J33" s="141"/>
      <c r="K33" s="65"/>
      <c r="M33" s="49"/>
      <c r="N33" s="49"/>
      <c r="O33" s="49"/>
      <c r="P33" s="49"/>
      <c r="Q33" s="49"/>
      <c r="R33" s="50"/>
      <c r="S33" s="50"/>
      <c r="T33" s="45"/>
      <c r="U33" s="45"/>
      <c r="V33" s="45"/>
      <c r="W33" s="45"/>
      <c r="X33" s="45"/>
      <c r="Y33" s="45"/>
    </row>
    <row r="34" spans="1:25" s="43" customFormat="1" ht="13.8" x14ac:dyDescent="0.3">
      <c r="A34" s="65"/>
      <c r="B34" s="111"/>
      <c r="C34" s="111"/>
      <c r="D34" s="143" t="s">
        <v>28</v>
      </c>
      <c r="E34" s="143"/>
      <c r="F34" s="143"/>
      <c r="G34" s="143"/>
      <c r="H34" s="143"/>
      <c r="I34" s="111"/>
      <c r="J34" s="111"/>
      <c r="K34" s="65"/>
      <c r="M34" s="49"/>
      <c r="N34" s="49"/>
      <c r="O34" s="49"/>
      <c r="P34" s="49"/>
      <c r="Q34" s="49"/>
      <c r="R34" s="50"/>
      <c r="S34" s="66"/>
      <c r="T34" s="45"/>
      <c r="U34" s="45"/>
      <c r="V34" s="45"/>
      <c r="W34" s="45"/>
      <c r="X34" s="45"/>
      <c r="Y34" s="45"/>
    </row>
    <row r="35" spans="1:25" s="43" customFormat="1" ht="13.8" x14ac:dyDescent="0.3">
      <c r="A35" s="65"/>
      <c r="B35" s="65"/>
      <c r="C35" s="65"/>
      <c r="I35" s="65"/>
      <c r="J35" s="65"/>
      <c r="K35" s="65"/>
      <c r="M35" s="49"/>
      <c r="N35" s="49"/>
      <c r="O35" s="49"/>
      <c r="P35" s="49"/>
      <c r="Q35" s="49"/>
      <c r="R35" s="50"/>
      <c r="S35" s="66"/>
      <c r="T35" s="45"/>
      <c r="U35" s="45"/>
      <c r="V35" s="45"/>
      <c r="W35" s="45"/>
      <c r="X35" s="45"/>
      <c r="Y35" s="45"/>
    </row>
    <row r="36" spans="1:25" s="43" customFormat="1" ht="12.75" customHeight="1" x14ac:dyDescent="0.3">
      <c r="A36" s="65"/>
      <c r="B36" s="67" t="s">
        <v>29</v>
      </c>
      <c r="C36" s="65"/>
      <c r="D36" s="65"/>
      <c r="E36" s="65"/>
      <c r="F36" s="112"/>
      <c r="G36" s="65"/>
      <c r="H36" s="65"/>
      <c r="I36" s="65"/>
      <c r="J36" s="65"/>
      <c r="K36" s="65"/>
      <c r="M36" s="49"/>
      <c r="N36" s="49"/>
      <c r="O36" s="49"/>
      <c r="P36" s="49"/>
      <c r="Q36" s="49"/>
      <c r="R36" s="50"/>
      <c r="S36" s="50"/>
      <c r="T36" s="45"/>
      <c r="U36" s="45"/>
      <c r="V36" s="45"/>
      <c r="W36" s="45"/>
      <c r="X36" s="45"/>
      <c r="Y36" s="45"/>
    </row>
    <row r="37" spans="1:25" s="43" customFormat="1" ht="13.8" x14ac:dyDescent="0.3">
      <c r="A37" s="65"/>
      <c r="B37" s="67"/>
      <c r="C37" s="65"/>
      <c r="D37" s="65"/>
      <c r="E37" s="65"/>
      <c r="F37" s="112"/>
      <c r="G37" s="65"/>
      <c r="H37" s="65"/>
      <c r="I37" s="65"/>
      <c r="J37" s="65"/>
      <c r="K37" s="65"/>
      <c r="M37" s="49"/>
      <c r="N37" s="49"/>
      <c r="O37" s="49"/>
      <c r="P37" s="49"/>
      <c r="Q37" s="49"/>
      <c r="R37" s="50"/>
      <c r="S37" s="50"/>
      <c r="T37" s="45"/>
      <c r="U37" s="45"/>
      <c r="V37" s="45"/>
      <c r="W37" s="45"/>
      <c r="X37" s="45"/>
      <c r="Y37" s="45"/>
    </row>
    <row r="38" spans="1:25" s="43" customFormat="1" ht="13.8" x14ac:dyDescent="0.3">
      <c r="A38" s="65"/>
      <c r="B38" s="141" t="s">
        <v>50</v>
      </c>
      <c r="C38" s="141"/>
      <c r="D38" s="141"/>
      <c r="E38" s="141"/>
      <c r="F38" s="141"/>
      <c r="G38" s="141"/>
      <c r="H38" s="141"/>
      <c r="I38" s="141"/>
      <c r="J38" s="141"/>
      <c r="K38" s="65"/>
      <c r="M38" s="49"/>
      <c r="N38" s="49"/>
      <c r="O38" s="49"/>
      <c r="P38" s="49"/>
      <c r="Q38" s="49"/>
      <c r="R38" s="50"/>
      <c r="S38" s="50"/>
      <c r="T38" s="45"/>
      <c r="U38" s="45"/>
      <c r="V38" s="45"/>
      <c r="W38" s="45"/>
      <c r="X38" s="45"/>
      <c r="Y38" s="45"/>
    </row>
    <row r="39" spans="1:25" s="43" customFormat="1" ht="13.8" x14ac:dyDescent="0.3">
      <c r="A39" s="65"/>
      <c r="B39" s="141"/>
      <c r="C39" s="141"/>
      <c r="D39" s="141"/>
      <c r="E39" s="141"/>
      <c r="F39" s="141"/>
      <c r="G39" s="141"/>
      <c r="H39" s="141"/>
      <c r="I39" s="141"/>
      <c r="J39" s="141"/>
      <c r="K39" s="65"/>
      <c r="M39" s="49"/>
      <c r="N39" s="49"/>
      <c r="O39" s="49"/>
      <c r="P39" s="49"/>
      <c r="Q39" s="49"/>
      <c r="R39" s="50"/>
      <c r="S39" s="50"/>
      <c r="T39" s="45"/>
      <c r="U39" s="45"/>
      <c r="V39" s="45"/>
      <c r="W39" s="45"/>
      <c r="X39" s="45"/>
      <c r="Y39" s="45"/>
    </row>
    <row r="40" spans="1:25" s="43" customFormat="1" ht="13.8" x14ac:dyDescent="0.3">
      <c r="A40" s="65"/>
      <c r="B40" s="111"/>
      <c r="C40" s="111"/>
      <c r="D40" s="111"/>
      <c r="E40" s="111"/>
      <c r="F40" s="111"/>
      <c r="G40" s="111"/>
      <c r="H40" s="111"/>
      <c r="I40" s="111"/>
      <c r="J40" s="111"/>
      <c r="K40" s="65"/>
      <c r="M40" s="49"/>
      <c r="N40" s="49"/>
      <c r="O40" s="49"/>
      <c r="P40" s="49"/>
      <c r="Q40" s="49"/>
      <c r="R40" s="50"/>
      <c r="S40" s="50"/>
      <c r="T40" s="45"/>
      <c r="U40" s="45"/>
      <c r="V40" s="45"/>
      <c r="W40" s="45"/>
      <c r="X40" s="45"/>
      <c r="Y40" s="45"/>
    </row>
    <row r="41" spans="1:25" s="43" customFormat="1" ht="13.8" x14ac:dyDescent="0.3">
      <c r="A41" s="65"/>
      <c r="B41" s="141" t="s">
        <v>51</v>
      </c>
      <c r="C41" s="141"/>
      <c r="D41" s="141"/>
      <c r="E41" s="141"/>
      <c r="F41" s="141"/>
      <c r="G41" s="141"/>
      <c r="H41" s="141"/>
      <c r="I41" s="141"/>
      <c r="J41" s="141"/>
      <c r="K41" s="65"/>
      <c r="M41" s="49"/>
      <c r="N41" s="49"/>
      <c r="O41" s="49"/>
      <c r="P41" s="49"/>
      <c r="Q41" s="49"/>
      <c r="R41" s="50"/>
      <c r="S41" s="50"/>
      <c r="T41" s="45"/>
      <c r="U41" s="45"/>
      <c r="V41" s="45"/>
      <c r="W41" s="45"/>
      <c r="X41" s="45"/>
      <c r="Y41" s="45"/>
    </row>
    <row r="42" spans="1:25" s="43" customFormat="1" ht="13.8" x14ac:dyDescent="0.3">
      <c r="A42" s="65"/>
      <c r="B42" s="141"/>
      <c r="C42" s="141"/>
      <c r="D42" s="141"/>
      <c r="E42" s="141"/>
      <c r="F42" s="141"/>
      <c r="G42" s="141"/>
      <c r="H42" s="141"/>
      <c r="I42" s="141"/>
      <c r="J42" s="141"/>
      <c r="K42" s="65"/>
      <c r="M42" s="49"/>
      <c r="N42" s="49"/>
      <c r="O42" s="49"/>
      <c r="P42" s="49"/>
      <c r="Q42" s="49"/>
      <c r="R42" s="50"/>
      <c r="S42" s="50"/>
      <c r="T42" s="45"/>
      <c r="U42" s="45"/>
      <c r="V42" s="45"/>
      <c r="W42" s="45"/>
      <c r="X42" s="45"/>
      <c r="Y42" s="45"/>
    </row>
    <row r="43" spans="1:25" s="43" customFormat="1" ht="13.8" x14ac:dyDescent="0.3">
      <c r="A43" s="65"/>
      <c r="B43" s="141"/>
      <c r="C43" s="141"/>
      <c r="D43" s="141"/>
      <c r="E43" s="141"/>
      <c r="F43" s="141"/>
      <c r="G43" s="141"/>
      <c r="H43" s="141"/>
      <c r="I43" s="141"/>
      <c r="J43" s="141"/>
      <c r="K43" s="65"/>
      <c r="M43" s="49"/>
      <c r="N43" s="49"/>
      <c r="O43" s="49"/>
      <c r="P43" s="49"/>
      <c r="Q43" s="49"/>
      <c r="R43" s="50"/>
      <c r="S43" s="50"/>
      <c r="T43" s="45"/>
      <c r="U43" s="45"/>
      <c r="V43" s="45"/>
      <c r="W43" s="45"/>
      <c r="X43" s="45"/>
      <c r="Y43" s="45"/>
    </row>
    <row r="44" spans="1:25" s="43" customFormat="1" ht="13.8" x14ac:dyDescent="0.3">
      <c r="A44" s="65"/>
      <c r="B44" s="111"/>
      <c r="C44" s="111"/>
      <c r="D44" s="111"/>
      <c r="E44" s="111"/>
      <c r="F44" s="111"/>
      <c r="G44" s="111"/>
      <c r="H44" s="111"/>
      <c r="I44" s="111"/>
      <c r="J44" s="111"/>
      <c r="K44" s="65"/>
      <c r="M44" s="49"/>
      <c r="N44" s="49"/>
      <c r="O44" s="49"/>
      <c r="P44" s="49"/>
      <c r="Q44" s="49"/>
      <c r="R44" s="50"/>
      <c r="S44" s="50"/>
      <c r="T44" s="45"/>
      <c r="U44" s="45"/>
      <c r="V44" s="45"/>
      <c r="W44" s="45"/>
      <c r="X44" s="45"/>
      <c r="Y44" s="45"/>
    </row>
    <row r="45" spans="1:25" s="43" customFormat="1" ht="12.75" customHeight="1" x14ac:dyDescent="0.3">
      <c r="A45" s="65"/>
      <c r="B45" s="141" t="s">
        <v>45</v>
      </c>
      <c r="C45" s="141"/>
      <c r="D45" s="141"/>
      <c r="E45" s="141"/>
      <c r="F45" s="141"/>
      <c r="G45" s="141"/>
      <c r="H45" s="141"/>
      <c r="I45" s="141"/>
      <c r="J45" s="141"/>
      <c r="K45" s="65"/>
      <c r="M45" s="49"/>
      <c r="N45" s="49"/>
      <c r="O45" s="49"/>
      <c r="P45" s="49"/>
      <c r="Q45" s="49"/>
      <c r="R45" s="50"/>
      <c r="S45" s="50"/>
      <c r="T45" s="45"/>
      <c r="U45" s="45"/>
      <c r="V45" s="45"/>
      <c r="W45" s="45"/>
      <c r="X45" s="45"/>
      <c r="Y45" s="45"/>
    </row>
    <row r="46" spans="1:25" s="43" customFormat="1" ht="13.8" x14ac:dyDescent="0.3">
      <c r="A46" s="65"/>
      <c r="B46" s="141"/>
      <c r="C46" s="141"/>
      <c r="D46" s="141"/>
      <c r="E46" s="141"/>
      <c r="F46" s="141"/>
      <c r="G46" s="141"/>
      <c r="H46" s="141"/>
      <c r="I46" s="141"/>
      <c r="J46" s="141"/>
      <c r="K46" s="65"/>
      <c r="M46" s="49"/>
      <c r="N46" s="49"/>
      <c r="O46" s="49"/>
      <c r="P46" s="49"/>
      <c r="Q46" s="49"/>
      <c r="R46" s="50"/>
      <c r="S46" s="50"/>
      <c r="T46" s="45"/>
      <c r="U46" s="45"/>
      <c r="V46" s="45"/>
      <c r="W46" s="45"/>
      <c r="X46" s="45"/>
      <c r="Y46" s="45"/>
    </row>
    <row r="47" spans="1:25" s="43" customFormat="1" ht="13.8" x14ac:dyDescent="0.3">
      <c r="A47" s="65"/>
      <c r="B47" s="141"/>
      <c r="C47" s="141"/>
      <c r="D47" s="141"/>
      <c r="E47" s="141"/>
      <c r="F47" s="141"/>
      <c r="G47" s="141"/>
      <c r="H47" s="141"/>
      <c r="I47" s="141"/>
      <c r="J47" s="141"/>
      <c r="K47" s="65"/>
      <c r="M47" s="49"/>
      <c r="N47" s="49"/>
      <c r="O47" s="49"/>
      <c r="P47" s="49"/>
      <c r="Q47" s="49"/>
      <c r="R47" s="50"/>
      <c r="S47" s="50"/>
      <c r="T47" s="45"/>
      <c r="U47" s="45"/>
      <c r="V47" s="45"/>
      <c r="W47" s="45"/>
      <c r="X47" s="45"/>
      <c r="Y47" s="45"/>
    </row>
    <row r="48" spans="1:25" s="43" customFormat="1" ht="12.75" customHeight="1" x14ac:dyDescent="0.3">
      <c r="A48" s="65"/>
      <c r="B48" s="141"/>
      <c r="C48" s="141"/>
      <c r="D48" s="141"/>
      <c r="E48" s="141"/>
      <c r="F48" s="141"/>
      <c r="G48" s="141"/>
      <c r="H48" s="141"/>
      <c r="I48" s="141"/>
      <c r="J48" s="141"/>
      <c r="K48" s="65"/>
      <c r="M48" s="49"/>
      <c r="N48" s="49"/>
      <c r="O48" s="49"/>
      <c r="P48" s="49"/>
      <c r="Q48" s="49"/>
      <c r="R48" s="50"/>
      <c r="S48" s="50"/>
      <c r="T48" s="45"/>
      <c r="U48" s="45"/>
      <c r="V48" s="45"/>
      <c r="W48" s="45"/>
      <c r="X48" s="45"/>
      <c r="Y48" s="45"/>
    </row>
    <row r="49" spans="1:25" s="43" customFormat="1" ht="13.8" x14ac:dyDescent="0.3">
      <c r="A49" s="65"/>
      <c r="B49" s="65" t="s">
        <v>52</v>
      </c>
      <c r="C49" s="65"/>
      <c r="D49" s="65"/>
      <c r="E49" s="65"/>
      <c r="F49" s="65"/>
      <c r="G49" s="65"/>
      <c r="H49" s="65"/>
      <c r="I49" s="65"/>
      <c r="J49" s="65"/>
      <c r="K49" s="65"/>
      <c r="M49" s="49"/>
      <c r="N49" s="49"/>
      <c r="O49" s="49"/>
      <c r="P49" s="49"/>
      <c r="Q49" s="49"/>
      <c r="R49" s="50"/>
      <c r="S49" s="50"/>
      <c r="T49" s="45"/>
      <c r="U49" s="45"/>
      <c r="V49" s="45"/>
      <c r="W49" s="45"/>
      <c r="X49" s="45"/>
      <c r="Y49" s="45"/>
    </row>
    <row r="50" spans="1:25" s="43" customFormat="1" ht="13.8" x14ac:dyDescent="0.3">
      <c r="A50" s="65"/>
      <c r="B50" s="65"/>
      <c r="C50" s="65"/>
      <c r="D50" s="65"/>
      <c r="F50" s="113" t="s">
        <v>70</v>
      </c>
      <c r="G50" s="112"/>
      <c r="H50" s="65"/>
      <c r="I50" s="65"/>
      <c r="J50" s="65"/>
      <c r="K50" s="65"/>
      <c r="M50" s="49"/>
      <c r="N50" s="49"/>
      <c r="O50" s="49"/>
      <c r="P50" s="49"/>
      <c r="Q50" s="49"/>
      <c r="R50" s="50"/>
      <c r="S50" s="50"/>
      <c r="T50" s="45"/>
      <c r="U50" s="45"/>
      <c r="V50" s="45"/>
      <c r="W50" s="45"/>
      <c r="X50" s="45"/>
      <c r="Y50" s="45"/>
    </row>
    <row r="51" spans="1:25" s="43" customFormat="1" ht="13.8" x14ac:dyDescent="0.3">
      <c r="A51" s="65"/>
      <c r="B51" s="65"/>
      <c r="C51" s="65"/>
      <c r="D51" s="65"/>
      <c r="E51" s="65"/>
      <c r="F51" s="65"/>
      <c r="G51" s="65"/>
      <c r="H51" s="65"/>
      <c r="I51" s="65"/>
      <c r="J51" s="65"/>
      <c r="K51" s="65"/>
      <c r="M51" s="49"/>
      <c r="N51" s="49"/>
      <c r="O51" s="49"/>
      <c r="P51" s="49"/>
      <c r="Q51" s="49"/>
      <c r="R51" s="50"/>
      <c r="S51" s="50"/>
      <c r="T51" s="45"/>
      <c r="U51" s="45"/>
      <c r="V51" s="45"/>
      <c r="W51" s="45"/>
      <c r="X51" s="45"/>
      <c r="Y51" s="45"/>
    </row>
    <row r="52" spans="1:25" s="43" customFormat="1" ht="12.75" customHeight="1" x14ac:dyDescent="0.3">
      <c r="A52" s="65"/>
      <c r="B52" s="67" t="s">
        <v>53</v>
      </c>
      <c r="C52" s="65"/>
      <c r="D52" s="65"/>
      <c r="E52" s="65"/>
      <c r="F52" s="65"/>
      <c r="G52" s="65"/>
      <c r="H52" s="65"/>
      <c r="I52" s="65"/>
      <c r="J52" s="65"/>
      <c r="K52" s="65"/>
      <c r="M52" s="49"/>
      <c r="N52" s="49"/>
      <c r="O52" s="49"/>
      <c r="P52" s="49"/>
      <c r="Q52" s="49"/>
      <c r="R52" s="50"/>
      <c r="S52" s="50"/>
      <c r="T52" s="45"/>
      <c r="U52" s="45"/>
      <c r="V52" s="45"/>
      <c r="W52" s="45"/>
      <c r="X52" s="45"/>
      <c r="Y52" s="45"/>
    </row>
    <row r="53" spans="1:25" s="43" customFormat="1" ht="13.8" x14ac:dyDescent="0.3">
      <c r="A53" s="65"/>
      <c r="B53" s="65"/>
      <c r="C53" s="65"/>
      <c r="D53" s="65"/>
      <c r="E53" s="65"/>
      <c r="F53" s="65"/>
      <c r="G53" s="65"/>
      <c r="H53" s="65"/>
      <c r="I53" s="65"/>
      <c r="J53" s="65"/>
      <c r="K53" s="65"/>
      <c r="M53" s="49"/>
      <c r="N53" s="49"/>
      <c r="O53" s="49"/>
      <c r="P53" s="49"/>
      <c r="Q53" s="49"/>
      <c r="R53" s="50"/>
      <c r="S53" s="50"/>
      <c r="T53" s="45"/>
      <c r="U53" s="45"/>
      <c r="V53" s="45"/>
      <c r="W53" s="45"/>
      <c r="X53" s="45"/>
      <c r="Y53" s="45"/>
    </row>
    <row r="54" spans="1:25" s="43" customFormat="1" ht="13.8" x14ac:dyDescent="0.3">
      <c r="A54" s="65"/>
      <c r="B54" s="142" t="s">
        <v>54</v>
      </c>
      <c r="C54" s="142"/>
      <c r="D54" s="142"/>
      <c r="E54" s="142"/>
      <c r="F54" s="142"/>
      <c r="G54" s="142"/>
      <c r="H54" s="142"/>
      <c r="I54" s="142"/>
      <c r="J54" s="142"/>
      <c r="K54" s="65"/>
      <c r="M54" s="49"/>
      <c r="N54" s="49"/>
      <c r="O54" s="49"/>
      <c r="P54" s="49"/>
      <c r="Q54" s="49"/>
      <c r="R54" s="50"/>
      <c r="S54" s="50"/>
      <c r="T54" s="45"/>
      <c r="U54" s="45"/>
      <c r="V54" s="45"/>
      <c r="W54" s="45"/>
      <c r="X54" s="45"/>
      <c r="Y54" s="45"/>
    </row>
    <row r="55" spans="1:25" s="43" customFormat="1" ht="13.8" x14ac:dyDescent="0.3">
      <c r="A55" s="65"/>
      <c r="B55" s="142"/>
      <c r="C55" s="142"/>
      <c r="D55" s="142"/>
      <c r="E55" s="142"/>
      <c r="F55" s="142"/>
      <c r="G55" s="142"/>
      <c r="H55" s="142"/>
      <c r="I55" s="142"/>
      <c r="J55" s="142"/>
      <c r="K55" s="65"/>
      <c r="M55" s="49"/>
      <c r="N55" s="49"/>
      <c r="O55" s="49"/>
      <c r="P55" s="49"/>
      <c r="Q55" s="49"/>
      <c r="R55" s="50"/>
      <c r="S55" s="50"/>
      <c r="T55" s="45"/>
      <c r="U55" s="45"/>
      <c r="V55" s="45"/>
      <c r="W55" s="45"/>
      <c r="X55" s="45"/>
      <c r="Y55" s="45"/>
    </row>
    <row r="56" spans="1:25" s="43" customFormat="1" ht="13.8" x14ac:dyDescent="0.3">
      <c r="A56" s="65"/>
      <c r="B56" s="142"/>
      <c r="C56" s="142"/>
      <c r="D56" s="142"/>
      <c r="E56" s="142"/>
      <c r="F56" s="142"/>
      <c r="G56" s="142"/>
      <c r="H56" s="142"/>
      <c r="I56" s="142"/>
      <c r="J56" s="142"/>
      <c r="K56" s="65"/>
      <c r="M56" s="49"/>
      <c r="N56" s="49"/>
      <c r="O56"/>
      <c r="P56" s="49"/>
      <c r="Q56" s="49"/>
      <c r="R56" s="50"/>
      <c r="S56" s="50"/>
      <c r="T56" s="45"/>
      <c r="U56" s="45"/>
      <c r="V56" s="45"/>
      <c r="W56" s="45"/>
      <c r="X56" s="45"/>
      <c r="Y56" s="45"/>
    </row>
    <row r="57" spans="1:25" s="43" customFormat="1" ht="13.8" x14ac:dyDescent="0.3">
      <c r="A57" s="65"/>
      <c r="B57" s="65"/>
      <c r="C57" s="65"/>
      <c r="D57" s="65"/>
      <c r="F57" s="112"/>
      <c r="G57" s="65"/>
      <c r="H57" s="65"/>
      <c r="I57" s="65"/>
      <c r="J57" s="65"/>
      <c r="K57" s="65"/>
      <c r="M57" s="49"/>
      <c r="N57" s="49"/>
      <c r="O57" s="49"/>
      <c r="P57" s="49"/>
      <c r="Q57" s="49"/>
      <c r="R57" s="50"/>
      <c r="S57" s="50"/>
      <c r="T57" s="45"/>
      <c r="U57" s="45"/>
      <c r="V57" s="45"/>
      <c r="W57" s="45"/>
      <c r="X57" s="45"/>
      <c r="Y57" s="45"/>
    </row>
    <row r="58" spans="1:25" s="43" customFormat="1" ht="13.8" x14ac:dyDescent="0.3">
      <c r="A58" s="65"/>
      <c r="B58" s="65"/>
      <c r="C58" s="65"/>
      <c r="D58" s="65"/>
      <c r="E58" s="65"/>
      <c r="F58" s="65"/>
      <c r="G58" s="65"/>
      <c r="H58" s="65"/>
      <c r="I58" s="65"/>
      <c r="J58" s="65"/>
      <c r="K58" s="65"/>
      <c r="M58" s="49"/>
      <c r="N58" s="49"/>
      <c r="O58" s="49"/>
      <c r="P58" s="49"/>
      <c r="Q58" s="49"/>
      <c r="R58" s="50"/>
      <c r="S58" s="50"/>
      <c r="T58" s="45"/>
      <c r="U58" s="45"/>
      <c r="V58" s="45"/>
      <c r="W58" s="45"/>
      <c r="X58" s="45"/>
      <c r="Y58" s="45"/>
    </row>
    <row r="59" spans="1:25" s="43" customFormat="1" ht="13.8" x14ac:dyDescent="0.3">
      <c r="K59" s="65"/>
      <c r="M59" s="49"/>
      <c r="N59" s="49"/>
      <c r="O59" s="114"/>
      <c r="P59" s="49"/>
      <c r="Q59" s="49"/>
      <c r="R59" s="50"/>
      <c r="S59" s="50"/>
      <c r="T59" s="45"/>
      <c r="U59" s="45"/>
      <c r="V59" s="45"/>
      <c r="W59" s="45"/>
      <c r="X59" s="45"/>
      <c r="Y59" s="45"/>
    </row>
    <row r="60" spans="1:25" s="43" customFormat="1" ht="13.8" x14ac:dyDescent="0.3">
      <c r="A60" s="65"/>
      <c r="B60" s="65" t="s">
        <v>55</v>
      </c>
      <c r="C60" s="65"/>
      <c r="D60" s="65"/>
      <c r="E60" s="65"/>
      <c r="F60" s="65"/>
      <c r="G60" s="65"/>
      <c r="H60" s="65"/>
      <c r="I60" s="65"/>
      <c r="J60" s="65"/>
      <c r="K60" s="65"/>
      <c r="M60" s="49"/>
      <c r="N60" s="49"/>
      <c r="O60" s="49"/>
      <c r="P60" s="49"/>
      <c r="Q60" s="49"/>
      <c r="R60" s="50"/>
      <c r="S60" s="50"/>
      <c r="T60" s="45"/>
      <c r="U60" s="45"/>
      <c r="V60" s="45"/>
      <c r="W60" s="45"/>
      <c r="X60" s="45"/>
      <c r="Y60" s="45"/>
    </row>
    <row r="61" spans="1:25" s="43" customFormat="1" ht="13.8" x14ac:dyDescent="0.3">
      <c r="A61" s="65"/>
      <c r="C61" s="65"/>
      <c r="D61" s="65"/>
      <c r="F61" s="113" t="s">
        <v>71</v>
      </c>
      <c r="G61" s="68"/>
      <c r="H61" s="65"/>
      <c r="I61" s="65"/>
      <c r="J61" s="65"/>
      <c r="K61" s="65"/>
      <c r="M61" s="49"/>
      <c r="N61" s="49"/>
      <c r="O61" s="49"/>
      <c r="P61" s="49"/>
      <c r="Q61" s="49"/>
      <c r="R61" s="50"/>
      <c r="S61" s="50"/>
      <c r="T61" s="45"/>
      <c r="U61" s="45"/>
      <c r="V61" s="45"/>
      <c r="W61" s="45"/>
      <c r="X61" s="45"/>
      <c r="Y61" s="45"/>
    </row>
    <row r="62" spans="1:25" s="43" customFormat="1" ht="13.8" x14ac:dyDescent="0.3">
      <c r="A62" s="65"/>
      <c r="B62" s="65"/>
      <c r="C62" s="65"/>
      <c r="D62" s="65"/>
      <c r="E62" s="65"/>
      <c r="F62" s="65"/>
      <c r="G62" s="65"/>
      <c r="H62" s="65"/>
      <c r="I62" s="65"/>
      <c r="J62" s="65"/>
      <c r="K62" s="65"/>
      <c r="M62" s="49"/>
      <c r="N62" s="49"/>
      <c r="O62" s="49"/>
      <c r="P62" s="49"/>
      <c r="Q62" s="49"/>
      <c r="R62" s="50"/>
      <c r="S62" s="50"/>
      <c r="T62" s="45"/>
      <c r="U62" s="45"/>
      <c r="V62" s="45"/>
      <c r="W62" s="45"/>
      <c r="X62" s="45"/>
      <c r="Y62" s="45"/>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CY113"/>
  <sheetViews>
    <sheetView tabSelected="1" view="pageBreakPreview" zoomScale="70" zoomScaleNormal="85" zoomScaleSheetLayoutView="70" workbookViewId="0">
      <selection activeCell="G5" sqref="G5"/>
    </sheetView>
  </sheetViews>
  <sheetFormatPr defaultColWidth="9.109375" defaultRowHeight="13.8" x14ac:dyDescent="0.3"/>
  <cols>
    <col min="1" max="11" width="9" style="2" customWidth="1"/>
    <col min="12" max="12" width="4" style="4" customWidth="1"/>
    <col min="13" max="15" width="4" style="12" customWidth="1"/>
    <col min="16" max="16" width="4" style="35" customWidth="1"/>
    <col min="17" max="20" width="4" style="12" customWidth="1"/>
    <col min="21" max="21" width="4" style="4" customWidth="1"/>
    <col min="22" max="22" width="10.5546875" style="2" bestFit="1" customWidth="1"/>
    <col min="23" max="23" width="11.5546875" style="2" bestFit="1" customWidth="1"/>
    <col min="24" max="30" width="9.109375" style="2"/>
    <col min="31" max="31" width="17.6640625" style="2" bestFit="1" customWidth="1"/>
    <col min="32" max="41" width="9.109375" style="2"/>
    <col min="43" max="45" width="9.109375" style="2"/>
    <col min="46" max="46" width="10.44140625" style="2" bestFit="1" customWidth="1"/>
    <col min="47" max="16384" width="9.109375" style="2"/>
  </cols>
  <sheetData>
    <row r="1" spans="1:103" s="43" customFormat="1" x14ac:dyDescent="0.3">
      <c r="A1" s="39"/>
      <c r="B1" s="40" t="s">
        <v>6</v>
      </c>
      <c r="C1" s="41" t="s">
        <v>4</v>
      </c>
      <c r="D1" s="39"/>
      <c r="E1" s="39"/>
      <c r="F1" s="40" t="s">
        <v>19</v>
      </c>
      <c r="G1" s="42">
        <f>X1</f>
        <v>2</v>
      </c>
      <c r="H1" s="39"/>
      <c r="I1" s="39"/>
      <c r="J1" s="39"/>
      <c r="K1" s="39"/>
      <c r="M1" s="90" t="s">
        <v>30</v>
      </c>
      <c r="N1" s="90" t="s">
        <v>31</v>
      </c>
      <c r="O1" s="90" t="s">
        <v>32</v>
      </c>
      <c r="P1" s="90" t="s">
        <v>32</v>
      </c>
      <c r="Q1" s="90" t="s">
        <v>32</v>
      </c>
      <c r="R1" s="90" t="s">
        <v>33</v>
      </c>
      <c r="S1" s="106" t="s">
        <v>34</v>
      </c>
      <c r="T1" s="89" t="s">
        <v>35</v>
      </c>
      <c r="W1" s="53" t="s">
        <v>36</v>
      </c>
      <c r="X1" s="54">
        <f>SUM(M:M)</f>
        <v>2</v>
      </c>
    </row>
    <row r="2" spans="1:103" s="43" customFormat="1" x14ac:dyDescent="0.3">
      <c r="A2" s="39"/>
      <c r="B2" s="40" t="s">
        <v>7</v>
      </c>
      <c r="C2" s="41" t="s">
        <v>8</v>
      </c>
      <c r="D2" s="39"/>
      <c r="E2" s="39"/>
      <c r="F2" s="40" t="s">
        <v>9</v>
      </c>
      <c r="G2" s="41" t="s">
        <v>72</v>
      </c>
      <c r="H2" s="39"/>
      <c r="I2" s="39"/>
      <c r="J2" s="39"/>
      <c r="K2" s="39"/>
      <c r="M2" s="79" t="s">
        <v>37</v>
      </c>
      <c r="N2" s="79" t="s">
        <v>37</v>
      </c>
      <c r="O2" s="79" t="s">
        <v>31</v>
      </c>
      <c r="P2" s="79" t="s">
        <v>31</v>
      </c>
      <c r="Q2" s="79" t="s">
        <v>31</v>
      </c>
      <c r="R2" s="79" t="s">
        <v>37</v>
      </c>
      <c r="S2" s="102" t="s">
        <v>37</v>
      </c>
      <c r="T2" s="78"/>
      <c r="W2" s="53" t="s">
        <v>38</v>
      </c>
      <c r="X2" s="54">
        <f>SUM(N:N)</f>
        <v>0</v>
      </c>
    </row>
    <row r="3" spans="1:103" s="43" customFormat="1" x14ac:dyDescent="0.3">
      <c r="A3" s="39"/>
      <c r="B3" s="40" t="s">
        <v>0</v>
      </c>
      <c r="C3" s="48" t="s">
        <v>20</v>
      </c>
      <c r="D3" s="39"/>
      <c r="E3" s="39"/>
      <c r="F3" s="40" t="s">
        <v>1</v>
      </c>
      <c r="G3" s="41" t="s">
        <v>21</v>
      </c>
      <c r="H3" s="39"/>
      <c r="I3" s="39"/>
      <c r="J3" s="39"/>
      <c r="K3" s="39"/>
      <c r="M3" s="79"/>
      <c r="N3" s="79"/>
      <c r="O3" s="79"/>
      <c r="P3" s="79"/>
      <c r="Q3" s="79"/>
      <c r="R3" s="79"/>
      <c r="S3" s="102"/>
      <c r="T3" s="78"/>
      <c r="W3" s="53" t="s">
        <v>39</v>
      </c>
      <c r="X3" s="54">
        <f>SUM(O:O)</f>
        <v>0</v>
      </c>
    </row>
    <row r="4" spans="1:103" s="43" customFormat="1" x14ac:dyDescent="0.3">
      <c r="A4" s="39"/>
      <c r="B4" s="40" t="s">
        <v>22</v>
      </c>
      <c r="C4" s="42"/>
      <c r="D4" s="39"/>
      <c r="E4" s="39"/>
      <c r="F4" s="40" t="s">
        <v>23</v>
      </c>
      <c r="G4" s="41" t="s">
        <v>118</v>
      </c>
      <c r="H4" s="39"/>
      <c r="I4" s="39"/>
      <c r="J4" s="39"/>
      <c r="K4" s="39"/>
      <c r="M4" s="79"/>
      <c r="N4" s="79"/>
      <c r="O4" s="79"/>
      <c r="P4" s="79"/>
      <c r="Q4" s="105"/>
      <c r="R4" s="104"/>
      <c r="S4" s="103"/>
      <c r="T4" s="78"/>
      <c r="W4" s="53" t="s">
        <v>39</v>
      </c>
      <c r="X4" s="54">
        <f>SUM(P:P)</f>
        <v>0</v>
      </c>
      <c r="AE4" s="2"/>
      <c r="AF4" s="8"/>
      <c r="AG4" s="70"/>
      <c r="AH4" s="74"/>
      <c r="AI4" s="74"/>
      <c r="AJ4" s="74"/>
      <c r="AK4" s="74"/>
    </row>
    <row r="5" spans="1:103" s="43" customFormat="1" x14ac:dyDescent="0.3">
      <c r="A5" s="39"/>
      <c r="B5" s="40" t="s">
        <v>25</v>
      </c>
      <c r="C5" s="42" t="s">
        <v>40</v>
      </c>
      <c r="D5" s="39"/>
      <c r="E5" s="40"/>
      <c r="F5" s="39"/>
      <c r="G5" s="39"/>
      <c r="H5" s="39"/>
      <c r="I5" s="39"/>
      <c r="J5" s="39"/>
      <c r="K5" s="39"/>
      <c r="M5" s="79"/>
      <c r="N5" s="79"/>
      <c r="O5" s="79"/>
      <c r="P5" s="79"/>
      <c r="Q5" s="105"/>
      <c r="R5" s="104"/>
      <c r="S5" s="103"/>
      <c r="T5" s="78"/>
      <c r="W5" s="53" t="s">
        <v>39</v>
      </c>
      <c r="X5" s="54">
        <f>SUM(Q:Q)</f>
        <v>0</v>
      </c>
      <c r="AE5" s="2"/>
      <c r="AF5" s="8"/>
      <c r="AG5" s="70"/>
      <c r="AH5" s="74"/>
      <c r="AI5" s="74"/>
      <c r="AJ5" s="74"/>
      <c r="AK5" s="74"/>
    </row>
    <row r="6" spans="1:103" s="43" customFormat="1" x14ac:dyDescent="0.3">
      <c r="A6" s="39"/>
      <c r="B6" s="39" t="s">
        <v>10</v>
      </c>
      <c r="C6" s="51"/>
      <c r="D6" s="39"/>
      <c r="E6" s="39"/>
      <c r="F6" s="39"/>
      <c r="G6" s="39"/>
      <c r="H6" s="39"/>
      <c r="I6" s="39"/>
      <c r="J6" s="39"/>
      <c r="K6" s="39"/>
      <c r="M6" s="79"/>
      <c r="N6" s="79"/>
      <c r="O6" s="79"/>
      <c r="P6" s="79"/>
      <c r="Q6" s="105"/>
      <c r="R6" s="104"/>
      <c r="S6" s="103"/>
      <c r="T6" s="78"/>
      <c r="W6" s="53" t="s">
        <v>41</v>
      </c>
      <c r="X6" s="54">
        <f>SUM(R:R)</f>
        <v>0</v>
      </c>
      <c r="AE6" s="2"/>
      <c r="AF6" s="8"/>
      <c r="AG6" s="70"/>
      <c r="AH6" s="74"/>
      <c r="AI6" s="74"/>
      <c r="AJ6" s="74"/>
      <c r="AK6" s="74"/>
    </row>
    <row r="7" spans="1:103" s="43" customFormat="1" x14ac:dyDescent="0.3">
      <c r="A7" s="39"/>
      <c r="B7" s="39"/>
      <c r="C7" s="39"/>
      <c r="D7" s="39"/>
      <c r="E7" s="39"/>
      <c r="F7" s="39"/>
      <c r="G7" s="39"/>
      <c r="H7" s="39"/>
      <c r="I7" s="39"/>
      <c r="J7" s="39"/>
      <c r="K7" s="39"/>
      <c r="M7" s="79"/>
      <c r="N7" s="79"/>
      <c r="O7" s="79"/>
      <c r="P7" s="79"/>
      <c r="Q7" s="105"/>
      <c r="R7" s="104"/>
      <c r="S7" s="103"/>
      <c r="T7" s="78"/>
      <c r="W7" s="53" t="s">
        <v>42</v>
      </c>
      <c r="X7" s="54">
        <f>SUM(S:S)</f>
        <v>0</v>
      </c>
      <c r="AE7" s="2"/>
      <c r="AF7" s="8"/>
      <c r="AG7" s="70"/>
      <c r="AH7" s="74"/>
      <c r="AI7" s="74"/>
      <c r="AJ7" s="74"/>
      <c r="AK7" s="74"/>
    </row>
    <row r="8" spans="1:103" s="4" customFormat="1" x14ac:dyDescent="0.3">
      <c r="A8" s="52"/>
      <c r="B8" s="43"/>
      <c r="C8" s="43"/>
      <c r="D8" s="43"/>
      <c r="E8" s="53" t="s">
        <v>6</v>
      </c>
      <c r="F8" s="54" t="str">
        <f>$C$1</f>
        <v>R. Abbott</v>
      </c>
      <c r="G8" s="43"/>
      <c r="H8" s="55"/>
      <c r="I8" s="53" t="s">
        <v>11</v>
      </c>
      <c r="J8" s="56" t="str">
        <f>$G$2</f>
        <v>AA-SM-007-043</v>
      </c>
      <c r="K8" s="57"/>
      <c r="L8" s="58"/>
      <c r="M8" s="79"/>
      <c r="N8" s="79"/>
      <c r="O8" s="79"/>
      <c r="P8" s="102"/>
      <c r="Q8" s="12"/>
      <c r="R8" s="12"/>
      <c r="S8" s="12"/>
      <c r="T8" s="12"/>
      <c r="AE8" s="2"/>
      <c r="AF8" s="8"/>
      <c r="AG8" s="70"/>
      <c r="AH8" s="74"/>
      <c r="AI8" s="74"/>
      <c r="AJ8" s="74"/>
      <c r="AK8" s="74"/>
    </row>
    <row r="9" spans="1:103" s="5" customFormat="1" x14ac:dyDescent="0.3">
      <c r="A9" s="43"/>
      <c r="B9" s="43"/>
      <c r="C9" s="43"/>
      <c r="D9" s="43"/>
      <c r="E9" s="53" t="s">
        <v>7</v>
      </c>
      <c r="F9" s="55" t="str">
        <f>$C$2</f>
        <v xml:space="preserve"> </v>
      </c>
      <c r="G9" s="43"/>
      <c r="H9" s="55"/>
      <c r="I9" s="53" t="s">
        <v>12</v>
      </c>
      <c r="J9" s="57" t="str">
        <f>$G$3</f>
        <v>IR</v>
      </c>
      <c r="K9" s="57"/>
      <c r="L9" s="58"/>
      <c r="M9" s="79">
        <v>1</v>
      </c>
      <c r="N9" s="79"/>
      <c r="O9" s="79"/>
      <c r="P9" s="102"/>
      <c r="Q9" s="36"/>
      <c r="R9" s="36"/>
      <c r="S9" s="36"/>
      <c r="T9" s="36"/>
      <c r="X9" s="6"/>
      <c r="Y9" s="6"/>
      <c r="Z9" s="6"/>
      <c r="AA9" s="6"/>
      <c r="AB9" s="4"/>
      <c r="AC9" s="4"/>
      <c r="AD9" s="7"/>
      <c r="AE9" s="2"/>
      <c r="AF9" s="8"/>
      <c r="AG9" s="70"/>
      <c r="AH9" s="74"/>
      <c r="AI9" s="74"/>
      <c r="AJ9" s="74"/>
      <c r="AK9" s="74"/>
      <c r="AT9" s="19"/>
      <c r="BF9" s="19"/>
      <c r="BR9" s="19"/>
      <c r="CD9" s="19"/>
      <c r="CP9" s="19"/>
    </row>
    <row r="10" spans="1:103" s="4" customFormat="1" x14ac:dyDescent="0.3">
      <c r="A10" s="43"/>
      <c r="B10" s="43"/>
      <c r="C10" s="43"/>
      <c r="D10" s="43"/>
      <c r="E10" s="53" t="s">
        <v>0</v>
      </c>
      <c r="F10" s="55" t="str">
        <f>$C$3</f>
        <v>20/10/2013</v>
      </c>
      <c r="G10" s="43"/>
      <c r="H10" s="55"/>
      <c r="I10" s="53" t="s">
        <v>13</v>
      </c>
      <c r="J10" s="54" t="str">
        <f>L10&amp;" of "&amp;$G$1</f>
        <v>1 of 2</v>
      </c>
      <c r="K10" s="55"/>
      <c r="L10" s="58">
        <f>SUM($M$1:M9)</f>
        <v>1</v>
      </c>
      <c r="M10" s="79"/>
      <c r="N10" s="79"/>
      <c r="O10" s="79"/>
      <c r="P10" s="102"/>
      <c r="Q10" s="12"/>
      <c r="R10" s="12"/>
      <c r="S10" s="12"/>
      <c r="T10" s="12"/>
      <c r="X10" s="8"/>
      <c r="Y10" s="9"/>
      <c r="Z10" s="9"/>
      <c r="AA10" s="9"/>
      <c r="AB10" s="10"/>
      <c r="AC10" s="10"/>
      <c r="AD10" s="10"/>
      <c r="AE10" s="2"/>
      <c r="AF10" s="8"/>
      <c r="AG10" s="70"/>
      <c r="AH10" s="74"/>
      <c r="AI10" s="74"/>
      <c r="AJ10" s="74"/>
      <c r="AK10" s="74"/>
      <c r="AT10" s="19"/>
      <c r="BF10" s="19"/>
      <c r="BR10" s="19"/>
      <c r="CD10" s="19"/>
      <c r="CP10" s="19"/>
    </row>
    <row r="11" spans="1:103" x14ac:dyDescent="0.3">
      <c r="A11" s="43"/>
      <c r="B11" s="43"/>
      <c r="C11" s="43"/>
      <c r="D11" s="43"/>
      <c r="E11" s="53" t="s">
        <v>26</v>
      </c>
      <c r="F11" s="55" t="str">
        <f>$C$5</f>
        <v>STANDARD SPREADSHEET METHOD</v>
      </c>
      <c r="G11" s="43"/>
      <c r="H11" s="43"/>
      <c r="I11" s="59"/>
      <c r="J11" s="54"/>
      <c r="K11" s="43"/>
      <c r="L11" s="43"/>
      <c r="M11" s="79"/>
      <c r="N11" s="79"/>
      <c r="O11" s="79"/>
      <c r="P11" s="102"/>
      <c r="V11" s="8"/>
      <c r="W11" s="9"/>
      <c r="X11" s="9"/>
      <c r="Y11" s="9"/>
      <c r="Z11" s="10"/>
      <c r="AA11" s="10"/>
      <c r="AB11" s="10"/>
      <c r="AD11" s="8"/>
      <c r="AE11" s="70"/>
      <c r="AF11" s="74"/>
      <c r="AG11" s="74"/>
      <c r="AH11" s="74"/>
      <c r="AI11" s="74"/>
      <c r="AP11" s="2"/>
      <c r="AT11" s="34"/>
      <c r="BF11" s="34"/>
      <c r="BR11" s="34"/>
      <c r="CD11" s="34"/>
      <c r="CP11" s="34"/>
    </row>
    <row r="12" spans="1:103" ht="15.6" x14ac:dyDescent="0.3">
      <c r="B12" s="61" t="str">
        <f>$G$4</f>
        <v>PLASTIC BENDING BUCKLING OF FLAT ISOTROPIC PANELS</v>
      </c>
      <c r="E12" s="11"/>
      <c r="F12" s="11"/>
      <c r="G12" s="11"/>
      <c r="H12" s="11"/>
      <c r="I12" s="11"/>
      <c r="J12" s="11"/>
      <c r="K12" s="11"/>
      <c r="V12" s="8"/>
      <c r="W12" s="9"/>
      <c r="AA12" s="10"/>
      <c r="AB12" s="10"/>
      <c r="AD12" s="8"/>
      <c r="AE12" s="70"/>
      <c r="AF12" s="74"/>
      <c r="AG12" s="74"/>
      <c r="AH12" s="74"/>
      <c r="AI12" s="74"/>
      <c r="AP12" s="2"/>
    </row>
    <row r="13" spans="1:103" ht="13.5" customHeight="1" x14ac:dyDescent="0.3">
      <c r="A13" s="13"/>
      <c r="B13" s="144" t="s">
        <v>113</v>
      </c>
      <c r="C13" s="144"/>
      <c r="D13" s="11"/>
      <c r="E13" s="11"/>
      <c r="F13" s="11"/>
      <c r="G13" s="11"/>
      <c r="H13" s="11"/>
      <c r="I13" s="11"/>
      <c r="J13" s="11"/>
      <c r="K13" s="11"/>
      <c r="Y13" s="8">
        <v>2</v>
      </c>
      <c r="Z13" s="75">
        <f>24+(1/(0.05*Y13)-2)^3*0.175</f>
        <v>113.6</v>
      </c>
      <c r="AA13" s="9"/>
      <c r="AB13" s="100">
        <f>AB14</f>
        <v>10</v>
      </c>
      <c r="AC13" s="75">
        <v>0</v>
      </c>
      <c r="AD13" s="8"/>
      <c r="AE13" s="70"/>
      <c r="AF13" s="74"/>
      <c r="AG13" s="74"/>
      <c r="AH13" s="74"/>
      <c r="AI13" s="74"/>
      <c r="AP13" s="2"/>
      <c r="AQ13" s="15"/>
      <c r="BE13" s="15"/>
      <c r="BQ13" s="15"/>
      <c r="CC13" s="15"/>
      <c r="CO13" s="15"/>
    </row>
    <row r="14" spans="1:103" x14ac:dyDescent="0.3">
      <c r="A14" s="11"/>
      <c r="B14" s="144" t="s">
        <v>114</v>
      </c>
      <c r="C14" s="144"/>
      <c r="D14" s="144"/>
      <c r="E14" s="101"/>
      <c r="F14" s="101"/>
      <c r="G14" s="101"/>
      <c r="H14" s="101"/>
      <c r="I14" s="101"/>
      <c r="J14" s="101"/>
      <c r="K14" s="11"/>
      <c r="W14" s="70"/>
      <c r="Y14" s="8">
        <v>2.2000000000000002</v>
      </c>
      <c r="Z14" s="75">
        <f t="shared" ref="Z14:Z58" si="0">24+(1/(0.05*Y14)-2)^3*0.175</f>
        <v>86.394139744552945</v>
      </c>
      <c r="AA14" s="9"/>
      <c r="AB14" s="100">
        <f>G24</f>
        <v>10</v>
      </c>
      <c r="AC14" s="75">
        <f t="shared" ref="AC14" si="1">24+(1/(0.05*AB14)-2)^3*0.175</f>
        <v>24</v>
      </c>
      <c r="AF14" s="74"/>
      <c r="AG14" s="74"/>
      <c r="AH14" s="74"/>
      <c r="AI14" s="74"/>
      <c r="AP14" s="2"/>
      <c r="AQ14" s="9"/>
      <c r="BE14" s="9"/>
      <c r="BQ14" s="9"/>
      <c r="CC14" s="9"/>
      <c r="CO14" s="9"/>
    </row>
    <row r="15" spans="1:103" x14ac:dyDescent="0.3">
      <c r="A15" s="11"/>
      <c r="B15" s="11"/>
      <c r="C15" s="11"/>
      <c r="D15" s="16"/>
      <c r="E15" s="16"/>
      <c r="V15" s="74"/>
      <c r="W15" s="17"/>
      <c r="Y15" s="8">
        <v>2.4</v>
      </c>
      <c r="Z15" s="75">
        <f t="shared" si="0"/>
        <v>68.456481481481489</v>
      </c>
      <c r="AA15" s="9"/>
      <c r="AB15" s="10">
        <v>0</v>
      </c>
      <c r="AC15" s="70">
        <f>AC14</f>
        <v>24</v>
      </c>
      <c r="AF15" s="74"/>
      <c r="AG15" s="74"/>
      <c r="AH15" s="74"/>
      <c r="AI15" s="74"/>
      <c r="AJ15" s="74"/>
      <c r="AK15" s="74"/>
      <c r="AL15" s="74"/>
      <c r="AM15" s="74"/>
      <c r="AO15" s="96"/>
      <c r="AP15" s="2"/>
      <c r="AQ15" s="9"/>
      <c r="AT15" s="74"/>
      <c r="AU15" s="74"/>
      <c r="AV15" s="74"/>
      <c r="AW15" s="74"/>
      <c r="AX15" s="74"/>
      <c r="AY15" s="74"/>
      <c r="AZ15" s="74"/>
      <c r="BA15" s="74"/>
      <c r="BB15" s="74"/>
      <c r="BC15" s="70"/>
      <c r="BE15" s="9"/>
      <c r="BF15" s="74"/>
      <c r="BG15" s="74"/>
      <c r="BH15" s="74"/>
      <c r="BI15" s="74"/>
      <c r="BJ15" s="74"/>
      <c r="BK15" s="74"/>
      <c r="BL15" s="74"/>
      <c r="BM15" s="74"/>
      <c r="BN15" s="74"/>
      <c r="BO15" s="70"/>
      <c r="BQ15" s="9"/>
      <c r="BR15" s="74"/>
      <c r="BS15" s="74"/>
      <c r="BT15" s="74"/>
      <c r="BU15" s="74"/>
      <c r="BV15" s="74"/>
      <c r="BW15" s="74"/>
      <c r="BX15" s="74"/>
      <c r="BY15" s="74"/>
      <c r="BZ15" s="74"/>
      <c r="CA15" s="70"/>
      <c r="CC15" s="9"/>
      <c r="CD15" s="74"/>
      <c r="CE15" s="74"/>
      <c r="CF15" s="74"/>
      <c r="CG15" s="74"/>
      <c r="CH15" s="74"/>
      <c r="CI15" s="74"/>
      <c r="CJ15" s="74"/>
      <c r="CK15" s="74"/>
      <c r="CL15" s="74"/>
      <c r="CM15" s="70"/>
      <c r="CO15" s="9"/>
      <c r="CP15" s="74"/>
      <c r="CQ15" s="74"/>
      <c r="CR15" s="74"/>
      <c r="CS15" s="74"/>
      <c r="CT15" s="74"/>
      <c r="CU15" s="74"/>
      <c r="CV15" s="74"/>
      <c r="CW15" s="74"/>
      <c r="CX15" s="74"/>
      <c r="CY15" s="70"/>
    </row>
    <row r="16" spans="1:103" x14ac:dyDescent="0.3">
      <c r="A16" s="11"/>
      <c r="B16" s="11"/>
      <c r="C16" s="11"/>
      <c r="D16" s="11"/>
      <c r="E16" s="11"/>
      <c r="F16" s="14" t="s">
        <v>15</v>
      </c>
      <c r="G16" s="20">
        <v>40</v>
      </c>
      <c r="H16" s="11" t="s">
        <v>56</v>
      </c>
      <c r="I16" s="99"/>
      <c r="J16" s="99"/>
      <c r="K16" s="99"/>
      <c r="V16" s="74"/>
      <c r="W16" s="17"/>
      <c r="Y16" s="8">
        <v>2.6</v>
      </c>
      <c r="Z16" s="75">
        <f t="shared" si="0"/>
        <v>56.277742375967208</v>
      </c>
      <c r="AA16" s="9"/>
      <c r="AB16" s="10"/>
      <c r="AF16" s="74"/>
      <c r="AG16" s="74"/>
      <c r="AH16" s="74"/>
      <c r="AI16" s="74"/>
      <c r="AJ16" s="74"/>
      <c r="AK16" s="74"/>
      <c r="AL16" s="74"/>
      <c r="AM16" s="74"/>
      <c r="AO16" s="96"/>
      <c r="AP16" s="2"/>
      <c r="AQ16" s="9"/>
      <c r="AT16" s="74"/>
      <c r="AU16" s="74"/>
      <c r="AV16" s="74"/>
      <c r="AW16" s="74"/>
      <c r="AX16" s="74"/>
      <c r="AY16" s="74"/>
      <c r="AZ16" s="74"/>
      <c r="BA16" s="74"/>
      <c r="BB16" s="74"/>
      <c r="BC16" s="70"/>
      <c r="BE16" s="9"/>
      <c r="BF16" s="74"/>
      <c r="BG16" s="74"/>
      <c r="BH16" s="74"/>
      <c r="BI16" s="74"/>
      <c r="BJ16" s="74"/>
      <c r="BK16" s="74"/>
      <c r="BL16" s="74"/>
      <c r="BM16" s="74"/>
      <c r="BN16" s="74"/>
      <c r="BO16" s="70"/>
      <c r="BQ16" s="9"/>
      <c r="BR16" s="74"/>
      <c r="BS16" s="74"/>
      <c r="BT16" s="74"/>
      <c r="BU16" s="74"/>
      <c r="BV16" s="74"/>
      <c r="BW16" s="74"/>
      <c r="BX16" s="74"/>
      <c r="BY16" s="74"/>
      <c r="BZ16" s="74"/>
      <c r="CA16" s="70"/>
      <c r="CC16" s="9"/>
      <c r="CD16" s="74"/>
      <c r="CE16" s="74"/>
      <c r="CF16" s="74"/>
      <c r="CG16" s="74"/>
      <c r="CH16" s="74"/>
      <c r="CI16" s="74"/>
      <c r="CJ16" s="74"/>
      <c r="CK16" s="74"/>
      <c r="CL16" s="74"/>
      <c r="CM16" s="70"/>
      <c r="CO16" s="9"/>
      <c r="CP16" s="74"/>
      <c r="CQ16" s="74"/>
      <c r="CR16" s="74"/>
      <c r="CS16" s="74"/>
      <c r="CT16" s="74"/>
      <c r="CU16" s="74"/>
      <c r="CV16" s="74"/>
      <c r="CW16" s="74"/>
      <c r="CX16" s="74"/>
      <c r="CY16" s="70"/>
    </row>
    <row r="17" spans="1:103" x14ac:dyDescent="0.3">
      <c r="A17" s="11"/>
      <c r="B17" s="11"/>
      <c r="C17" s="11"/>
      <c r="D17" s="11"/>
      <c r="E17" s="11"/>
      <c r="F17" s="1" t="s">
        <v>2</v>
      </c>
      <c r="G17" s="20">
        <v>4</v>
      </c>
      <c r="H17" s="11" t="s">
        <v>60</v>
      </c>
      <c r="I17" s="99"/>
      <c r="J17" s="99"/>
      <c r="K17" s="99"/>
      <c r="V17" s="74"/>
      <c r="W17" s="17"/>
      <c r="Y17" s="8">
        <v>2.8</v>
      </c>
      <c r="Z17" s="75">
        <f t="shared" si="0"/>
        <v>47.804081632653066</v>
      </c>
      <c r="AA17" s="9"/>
      <c r="AB17" s="10"/>
      <c r="AF17" s="74"/>
      <c r="AG17" s="74"/>
      <c r="AH17" s="74"/>
      <c r="AI17" s="74"/>
      <c r="AJ17" s="74"/>
      <c r="AK17" s="74"/>
      <c r="AL17" s="74"/>
      <c r="AM17" s="74"/>
      <c r="AO17" s="96"/>
      <c r="AP17" s="2"/>
      <c r="AQ17" s="9"/>
      <c r="AT17" s="74"/>
      <c r="AU17" s="74"/>
      <c r="AV17" s="74"/>
      <c r="AW17" s="74"/>
      <c r="AX17" s="74"/>
      <c r="AY17" s="74"/>
      <c r="AZ17" s="74"/>
      <c r="BA17" s="74"/>
      <c r="BB17" s="74"/>
      <c r="BC17" s="70"/>
      <c r="BE17" s="9"/>
      <c r="BF17" s="74"/>
      <c r="BG17" s="74"/>
      <c r="BH17" s="74"/>
      <c r="BI17" s="74"/>
      <c r="BJ17" s="74"/>
      <c r="BK17" s="74"/>
      <c r="BL17" s="74"/>
      <c r="BM17" s="74"/>
      <c r="BN17" s="74"/>
      <c r="BO17" s="70"/>
      <c r="BQ17" s="9"/>
      <c r="BR17" s="74"/>
      <c r="BS17" s="74"/>
      <c r="BT17" s="74"/>
      <c r="BU17" s="74"/>
      <c r="BV17" s="74"/>
      <c r="BW17" s="74"/>
      <c r="BX17" s="74"/>
      <c r="BY17" s="74"/>
      <c r="BZ17" s="74"/>
      <c r="CA17" s="70"/>
      <c r="CC17" s="9"/>
      <c r="CD17" s="74"/>
      <c r="CE17" s="74"/>
      <c r="CF17" s="74"/>
      <c r="CG17" s="74"/>
      <c r="CH17" s="74"/>
      <c r="CI17" s="74"/>
      <c r="CJ17" s="74"/>
      <c r="CK17" s="74"/>
      <c r="CL17" s="74"/>
      <c r="CM17" s="70"/>
      <c r="CO17" s="9"/>
      <c r="CP17" s="74"/>
      <c r="CQ17" s="74"/>
      <c r="CR17" s="74"/>
      <c r="CS17" s="74"/>
      <c r="CT17" s="74"/>
      <c r="CU17" s="74"/>
      <c r="CV17" s="74"/>
      <c r="CW17" s="74"/>
      <c r="CX17" s="74"/>
      <c r="CY17" s="70"/>
    </row>
    <row r="18" spans="1:103" x14ac:dyDescent="0.3">
      <c r="A18" s="11"/>
      <c r="D18" s="11"/>
      <c r="E18" s="11"/>
      <c r="F18" s="14" t="s">
        <v>18</v>
      </c>
      <c r="G18" s="20">
        <v>0.08</v>
      </c>
      <c r="H18" s="11" t="s">
        <v>56</v>
      </c>
      <c r="I18" s="11" t="s">
        <v>115</v>
      </c>
      <c r="V18" s="74"/>
      <c r="W18" s="17"/>
      <c r="Y18" s="8">
        <v>3</v>
      </c>
      <c r="Z18" s="75">
        <f t="shared" si="0"/>
        <v>41.785185185185178</v>
      </c>
      <c r="AA18" s="9"/>
      <c r="AB18" s="10"/>
      <c r="AF18" s="74"/>
      <c r="AG18" s="74"/>
      <c r="AH18" s="74"/>
      <c r="AI18" s="74"/>
      <c r="AJ18" s="74"/>
      <c r="AK18" s="74"/>
      <c r="AL18" s="74"/>
      <c r="AM18" s="74"/>
      <c r="AO18" s="96"/>
      <c r="AP18" s="2"/>
      <c r="AQ18" s="9"/>
      <c r="AT18" s="74"/>
      <c r="AU18" s="74"/>
      <c r="AV18" s="74"/>
      <c r="AW18" s="74"/>
      <c r="AX18" s="74"/>
      <c r="AY18" s="74"/>
      <c r="AZ18" s="74"/>
      <c r="BA18" s="74"/>
      <c r="BB18" s="74"/>
      <c r="BC18" s="70"/>
      <c r="BE18" s="9"/>
      <c r="BF18" s="74"/>
      <c r="BG18" s="74"/>
      <c r="BH18" s="74"/>
      <c r="BI18" s="74"/>
      <c r="BJ18" s="74"/>
      <c r="BK18" s="74"/>
      <c r="BL18" s="74"/>
      <c r="BM18" s="74"/>
      <c r="BN18" s="74"/>
      <c r="BO18" s="70"/>
      <c r="BQ18" s="9"/>
      <c r="BR18" s="74"/>
      <c r="BS18" s="74"/>
      <c r="BT18" s="74"/>
      <c r="BU18" s="74"/>
      <c r="BV18" s="74"/>
      <c r="BW18" s="74"/>
      <c r="BX18" s="74"/>
      <c r="BY18" s="74"/>
      <c r="BZ18" s="74"/>
      <c r="CA18" s="70"/>
      <c r="CC18" s="9"/>
      <c r="CD18" s="74"/>
      <c r="CE18" s="74"/>
      <c r="CF18" s="74"/>
      <c r="CG18" s="74"/>
      <c r="CH18" s="74"/>
      <c r="CI18" s="74"/>
      <c r="CJ18" s="74"/>
      <c r="CK18" s="74"/>
      <c r="CL18" s="74"/>
      <c r="CM18" s="70"/>
      <c r="CO18" s="9"/>
      <c r="CP18" s="74"/>
      <c r="CQ18" s="74"/>
      <c r="CR18" s="74"/>
      <c r="CS18" s="74"/>
      <c r="CT18" s="74"/>
      <c r="CU18" s="74"/>
      <c r="CV18" s="74"/>
      <c r="CW18" s="74"/>
      <c r="CX18" s="74"/>
      <c r="CY18" s="70"/>
    </row>
    <row r="19" spans="1:103" ht="15" x14ac:dyDescent="0.35">
      <c r="A19" s="11"/>
      <c r="B19" s="11"/>
      <c r="C19" s="11"/>
      <c r="D19" s="11"/>
      <c r="E19" s="11"/>
      <c r="F19" s="14" t="s">
        <v>17</v>
      </c>
      <c r="G19" s="110">
        <v>3500</v>
      </c>
      <c r="H19" s="11" t="s">
        <v>57</v>
      </c>
      <c r="I19" s="11" t="s">
        <v>116</v>
      </c>
      <c r="K19" s="11"/>
      <c r="V19" s="74"/>
      <c r="W19" s="17"/>
      <c r="Y19" s="8">
        <v>3.2</v>
      </c>
      <c r="Z19" s="75">
        <f t="shared" si="0"/>
        <v>37.433984374999994</v>
      </c>
      <c r="AA19" s="4"/>
      <c r="AB19" s="7"/>
      <c r="AF19" s="74"/>
      <c r="AG19" s="17"/>
      <c r="AH19" s="17"/>
      <c r="AI19" s="74"/>
      <c r="AJ19" s="17"/>
      <c r="AK19" s="8"/>
      <c r="AL19" s="9"/>
      <c r="AM19" s="9"/>
      <c r="AN19" s="9"/>
      <c r="AO19" s="10"/>
      <c r="AP19" s="82"/>
      <c r="AQ19" s="9"/>
      <c r="AT19" s="74"/>
      <c r="AU19" s="74"/>
      <c r="AV19" s="74"/>
      <c r="AW19" s="74"/>
      <c r="AX19" s="74"/>
      <c r="AY19" s="74"/>
      <c r="AZ19" s="74"/>
      <c r="BA19" s="74"/>
      <c r="BB19" s="74"/>
      <c r="BC19" s="70"/>
      <c r="BE19" s="9"/>
      <c r="BF19" s="74"/>
      <c r="BG19" s="74"/>
      <c r="BH19" s="74"/>
      <c r="BI19" s="74"/>
      <c r="BJ19" s="74"/>
      <c r="BK19" s="74"/>
      <c r="BL19" s="74"/>
      <c r="BM19" s="74"/>
      <c r="BN19" s="74"/>
      <c r="BO19" s="70"/>
      <c r="BQ19" s="9"/>
      <c r="BR19" s="74"/>
      <c r="BS19" s="74"/>
      <c r="BT19" s="74"/>
      <c r="BU19" s="74"/>
      <c r="BV19" s="74"/>
      <c r="BW19" s="74"/>
      <c r="BX19" s="74"/>
      <c r="BY19" s="74"/>
      <c r="BZ19" s="74"/>
      <c r="CA19" s="70"/>
      <c r="CC19" s="9"/>
      <c r="CD19" s="74"/>
      <c r="CE19" s="74"/>
      <c r="CF19" s="74"/>
      <c r="CG19" s="74"/>
      <c r="CH19" s="74"/>
      <c r="CI19" s="74"/>
      <c r="CJ19" s="74"/>
      <c r="CK19" s="74"/>
      <c r="CL19" s="74"/>
      <c r="CM19" s="70"/>
      <c r="CO19" s="9"/>
      <c r="CP19" s="74"/>
      <c r="CQ19" s="74"/>
      <c r="CR19" s="74"/>
      <c r="CS19" s="74"/>
      <c r="CT19" s="74"/>
      <c r="CU19" s="74"/>
      <c r="CV19" s="74"/>
      <c r="CW19" s="74"/>
      <c r="CX19" s="74"/>
      <c r="CY19" s="70"/>
    </row>
    <row r="20" spans="1:103" x14ac:dyDescent="0.3">
      <c r="A20" s="11"/>
      <c r="B20" s="11"/>
      <c r="C20" s="11"/>
      <c r="D20" s="11"/>
      <c r="E20" s="11"/>
      <c r="K20" s="11"/>
      <c r="V20" s="74"/>
      <c r="W20" s="17"/>
      <c r="Y20" s="8">
        <v>3.4</v>
      </c>
      <c r="Z20" s="75">
        <f t="shared" si="0"/>
        <v>34.240545491553021</v>
      </c>
      <c r="AA20" s="4"/>
      <c r="AB20" s="7"/>
      <c r="AE20" s="17"/>
      <c r="AF20" s="74"/>
      <c r="AG20" s="17"/>
      <c r="AH20" s="8"/>
      <c r="AI20" s="9"/>
      <c r="AJ20" s="9"/>
      <c r="AK20" s="9"/>
      <c r="AL20" s="10"/>
      <c r="AP20" s="82"/>
      <c r="AQ20" s="9"/>
      <c r="AT20" s="74"/>
      <c r="AU20" s="74"/>
      <c r="AV20" s="74"/>
      <c r="AW20" s="74"/>
      <c r="AX20" s="74"/>
      <c r="AY20" s="74"/>
      <c r="AZ20" s="74"/>
      <c r="BA20" s="74"/>
      <c r="BB20" s="74"/>
      <c r="BC20" s="70"/>
      <c r="BE20" s="9"/>
      <c r="BF20" s="74"/>
      <c r="BG20" s="74"/>
      <c r="BH20" s="74"/>
      <c r="BI20" s="74"/>
      <c r="BJ20" s="74"/>
      <c r="BK20" s="74"/>
      <c r="BL20" s="74"/>
      <c r="BM20" s="74"/>
      <c r="BN20" s="74"/>
      <c r="BO20" s="70"/>
      <c r="BQ20" s="9"/>
      <c r="BR20" s="74"/>
      <c r="BS20" s="74"/>
      <c r="BT20" s="74"/>
      <c r="BU20" s="74"/>
      <c r="BV20" s="74"/>
      <c r="BW20" s="74"/>
      <c r="BX20" s="74"/>
      <c r="BY20" s="74"/>
      <c r="BZ20" s="74"/>
      <c r="CA20" s="70"/>
      <c r="CC20" s="9"/>
      <c r="CD20" s="74"/>
      <c r="CE20" s="74"/>
      <c r="CF20" s="74"/>
      <c r="CG20" s="74"/>
      <c r="CH20" s="74"/>
      <c r="CI20" s="74"/>
      <c r="CJ20" s="74"/>
      <c r="CK20" s="74"/>
      <c r="CL20" s="74"/>
      <c r="CM20" s="70"/>
      <c r="CO20" s="9"/>
      <c r="CP20" s="74"/>
      <c r="CQ20" s="74"/>
      <c r="CR20" s="74"/>
      <c r="CS20" s="74"/>
      <c r="CT20" s="74"/>
      <c r="CU20" s="74"/>
      <c r="CV20" s="74"/>
      <c r="CW20" s="74"/>
      <c r="CX20" s="74"/>
      <c r="CY20" s="70"/>
    </row>
    <row r="21" spans="1:103" x14ac:dyDescent="0.3">
      <c r="E21" s="84"/>
      <c r="F21" s="84" t="s">
        <v>61</v>
      </c>
      <c r="G21" s="93">
        <v>150</v>
      </c>
      <c r="H21" s="83"/>
      <c r="I21" s="83"/>
      <c r="J21" s="88"/>
      <c r="K21" s="88"/>
      <c r="V21" s="74"/>
      <c r="W21" s="17"/>
      <c r="Y21" s="8">
        <v>3.6</v>
      </c>
      <c r="Z21" s="75">
        <f t="shared" si="0"/>
        <v>31.866117969821666</v>
      </c>
      <c r="AA21" s="4"/>
      <c r="AB21" s="7"/>
      <c r="AE21" s="17"/>
      <c r="AF21" s="74"/>
      <c r="AG21" s="17"/>
      <c r="AH21" s="77"/>
      <c r="AI21" s="18"/>
      <c r="AJ21" s="4"/>
      <c r="AK21" s="4"/>
      <c r="AL21" s="7"/>
      <c r="AP21" s="82"/>
      <c r="AQ21" s="9"/>
      <c r="AT21" s="74"/>
      <c r="AU21" s="74"/>
      <c r="AV21" s="74"/>
      <c r="AW21" s="74"/>
      <c r="AX21" s="74"/>
      <c r="AY21" s="74"/>
      <c r="AZ21" s="74"/>
      <c r="BA21" s="74"/>
      <c r="BB21" s="74"/>
      <c r="BC21" s="70"/>
      <c r="BE21" s="9"/>
      <c r="BF21" s="74"/>
      <c r="BG21" s="74"/>
      <c r="BH21" s="74"/>
      <c r="BI21" s="74"/>
      <c r="BJ21" s="74"/>
      <c r="BK21" s="74"/>
      <c r="BL21" s="74"/>
      <c r="BM21" s="74"/>
      <c r="BN21" s="74"/>
      <c r="BO21" s="70"/>
      <c r="BQ21" s="9"/>
      <c r="BR21" s="74"/>
      <c r="BS21" s="74"/>
      <c r="BT21" s="74"/>
      <c r="BU21" s="74"/>
      <c r="BV21" s="74"/>
      <c r="BW21" s="74"/>
      <c r="BX21" s="74"/>
      <c r="BY21" s="74"/>
      <c r="BZ21" s="74"/>
      <c r="CA21" s="70"/>
      <c r="CC21" s="9"/>
      <c r="CD21" s="74"/>
      <c r="CE21" s="74"/>
      <c r="CF21" s="74"/>
      <c r="CG21" s="74"/>
      <c r="CH21" s="74"/>
      <c r="CI21" s="74"/>
      <c r="CJ21" s="74"/>
      <c r="CK21" s="74"/>
      <c r="CL21" s="74"/>
      <c r="CM21" s="70"/>
      <c r="CO21" s="9"/>
      <c r="CP21" s="74"/>
      <c r="CQ21" s="74"/>
      <c r="CR21" s="74"/>
      <c r="CS21" s="74"/>
      <c r="CT21" s="74"/>
      <c r="CU21" s="74"/>
      <c r="CV21" s="74"/>
      <c r="CW21" s="74"/>
      <c r="CX21" s="74"/>
      <c r="CY21" s="70"/>
    </row>
    <row r="22" spans="1:103" x14ac:dyDescent="0.3">
      <c r="E22" s="84"/>
      <c r="F22" s="84" t="s">
        <v>62</v>
      </c>
      <c r="G22" s="71" t="str">
        <f>[1]!xln(G23)</f>
        <v>(1.6E+07) × 0.08³ / 12 × (1 - 0.31²)</v>
      </c>
      <c r="I22" s="84"/>
      <c r="J22" s="87"/>
      <c r="K22" s="83"/>
      <c r="V22" s="74"/>
      <c r="W22" s="17"/>
      <c r="Y22" s="8">
        <v>3.8</v>
      </c>
      <c r="Z22" s="75">
        <f t="shared" si="0"/>
        <v>30.0806823152063</v>
      </c>
      <c r="AA22" s="4"/>
      <c r="AB22" s="9"/>
      <c r="AC22" s="17"/>
      <c r="AD22" s="74"/>
      <c r="AE22" s="17"/>
      <c r="AF22" s="8"/>
      <c r="AG22" s="18"/>
      <c r="AJ22" s="19"/>
      <c r="AK22" s="4"/>
      <c r="AL22" s="7"/>
      <c r="AP22" s="80"/>
      <c r="AQ22" s="9"/>
      <c r="AT22" s="74"/>
      <c r="AU22" s="74"/>
      <c r="AV22" s="74"/>
      <c r="AW22" s="74"/>
      <c r="AX22" s="74"/>
      <c r="AY22" s="74"/>
      <c r="AZ22" s="74"/>
      <c r="BA22" s="74"/>
      <c r="BB22" s="74"/>
      <c r="BC22" s="70"/>
      <c r="BE22" s="9"/>
      <c r="BF22" s="74"/>
      <c r="BG22" s="74"/>
      <c r="BH22" s="74"/>
      <c r="BI22" s="74"/>
      <c r="BJ22" s="74"/>
      <c r="BK22" s="74"/>
      <c r="BL22" s="74"/>
      <c r="BM22" s="74"/>
      <c r="BN22" s="74"/>
      <c r="BO22" s="70"/>
      <c r="BQ22" s="9"/>
      <c r="BR22" s="74"/>
      <c r="BS22" s="74"/>
      <c r="BT22" s="74"/>
      <c r="BU22" s="74"/>
      <c r="BV22" s="74"/>
      <c r="BW22" s="74"/>
      <c r="BX22" s="74"/>
      <c r="BY22" s="74"/>
      <c r="BZ22" s="74"/>
      <c r="CA22" s="70"/>
      <c r="CC22" s="9"/>
      <c r="CD22" s="74"/>
      <c r="CE22" s="74"/>
      <c r="CF22" s="74"/>
      <c r="CG22" s="74"/>
      <c r="CH22" s="74"/>
      <c r="CI22" s="74"/>
      <c r="CJ22" s="74"/>
      <c r="CK22" s="74"/>
      <c r="CL22" s="74"/>
      <c r="CM22" s="70"/>
      <c r="CO22" s="9"/>
      <c r="CP22" s="74"/>
      <c r="CQ22" s="74"/>
      <c r="CR22" s="74"/>
      <c r="CS22" s="74"/>
      <c r="CT22" s="74"/>
      <c r="CU22" s="74"/>
      <c r="CV22" s="74"/>
      <c r="CW22" s="74"/>
      <c r="CX22" s="74"/>
      <c r="CY22" s="70"/>
    </row>
    <row r="23" spans="1:103" x14ac:dyDescent="0.3">
      <c r="A23" s="11"/>
      <c r="E23" s="84"/>
      <c r="F23" s="84"/>
      <c r="G23" s="115">
        <f>C24*G18^3/12*(1-C25^2)</f>
        <v>617.06240000000025</v>
      </c>
      <c r="H23" s="83" t="s">
        <v>63</v>
      </c>
      <c r="I23" s="84"/>
      <c r="J23" s="87"/>
      <c r="K23" s="65"/>
      <c r="V23" s="74"/>
      <c r="W23" s="17"/>
      <c r="Y23" s="8">
        <v>4</v>
      </c>
      <c r="Z23" s="75">
        <f t="shared" si="0"/>
        <v>28.725000000000001</v>
      </c>
      <c r="AA23" s="4"/>
      <c r="AB23" s="9"/>
      <c r="AC23" s="17"/>
      <c r="AD23" s="74"/>
      <c r="AE23" s="17"/>
      <c r="AF23" s="8"/>
      <c r="AG23" s="18"/>
      <c r="AJ23" s="19"/>
      <c r="AK23" s="4"/>
      <c r="AL23" s="7"/>
      <c r="AP23" s="82"/>
      <c r="AQ23" s="9"/>
      <c r="AT23" s="74"/>
      <c r="AU23" s="74"/>
      <c r="AV23" s="74"/>
      <c r="AW23" s="74"/>
      <c r="AX23" s="74"/>
      <c r="AY23" s="74"/>
      <c r="AZ23" s="74"/>
      <c r="BA23" s="74"/>
      <c r="BB23" s="74"/>
      <c r="BC23" s="70"/>
      <c r="BE23" s="9"/>
      <c r="BF23" s="74"/>
      <c r="BG23" s="74"/>
      <c r="BH23" s="74"/>
      <c r="BI23" s="74"/>
      <c r="BJ23" s="74"/>
      <c r="BK23" s="74"/>
      <c r="BL23" s="74"/>
      <c r="BM23" s="74"/>
      <c r="BN23" s="74"/>
      <c r="BO23" s="70"/>
      <c r="BQ23" s="9"/>
      <c r="BR23" s="74"/>
      <c r="BS23" s="74"/>
      <c r="BT23" s="74"/>
      <c r="BU23" s="74"/>
      <c r="BV23" s="74"/>
      <c r="BW23" s="74"/>
      <c r="BX23" s="74"/>
      <c r="BY23" s="74"/>
      <c r="BZ23" s="74"/>
      <c r="CA23" s="70"/>
      <c r="CC23" s="9"/>
      <c r="CD23" s="74"/>
      <c r="CE23" s="74"/>
      <c r="CF23" s="74"/>
      <c r="CG23" s="74"/>
      <c r="CH23" s="74"/>
      <c r="CI23" s="74"/>
      <c r="CJ23" s="74"/>
      <c r="CK23" s="74"/>
      <c r="CL23" s="74"/>
      <c r="CM23" s="70"/>
      <c r="CO23" s="9"/>
      <c r="CP23" s="74"/>
      <c r="CQ23" s="74"/>
      <c r="CR23" s="74"/>
      <c r="CS23" s="74"/>
      <c r="CT23" s="74"/>
      <c r="CU23" s="74"/>
      <c r="CV23" s="74"/>
      <c r="CW23" s="74"/>
      <c r="CX23" s="74"/>
      <c r="CY23" s="70"/>
    </row>
    <row r="24" spans="1:103" x14ac:dyDescent="0.3">
      <c r="A24" s="11"/>
      <c r="B24" s="14" t="s">
        <v>16</v>
      </c>
      <c r="C24" s="22">
        <v>16000000</v>
      </c>
      <c r="D24" s="11" t="s">
        <v>57</v>
      </c>
      <c r="F24" s="14" t="s">
        <v>58</v>
      </c>
      <c r="G24" s="23">
        <f>G16/G17</f>
        <v>10</v>
      </c>
      <c r="H24" s="11" t="s">
        <v>3</v>
      </c>
      <c r="J24" s="95"/>
      <c r="K24" s="83"/>
      <c r="V24" s="74"/>
      <c r="W24" s="17"/>
      <c r="Y24" s="8">
        <v>4.2</v>
      </c>
      <c r="Z24" s="75">
        <f t="shared" si="0"/>
        <v>27.686923658352228</v>
      </c>
      <c r="AC24" s="2">
        <v>0</v>
      </c>
      <c r="AD24" s="2">
        <v>4</v>
      </c>
      <c r="AE24" s="2">
        <f t="shared" ref="AE24:AE41" si="2">AD24/4</f>
        <v>1</v>
      </c>
      <c r="AF24" s="2">
        <f t="shared" ref="AF24:AF41" si="3">AC24</f>
        <v>0</v>
      </c>
      <c r="AG24" s="4"/>
      <c r="AH24" s="2">
        <f>MATCH(I43,AC24:AC41)</f>
        <v>5</v>
      </c>
      <c r="AI24" s="2">
        <f>INDEX(AC24:AC41,AH24)</f>
        <v>3</v>
      </c>
      <c r="AJ24" s="19">
        <f>INDEX(AE24:AE41,AH24)</f>
        <v>1.2</v>
      </c>
      <c r="AK24" s="4"/>
      <c r="AL24" s="9"/>
      <c r="AP24" s="81"/>
      <c r="AQ24" s="9"/>
      <c r="AT24" s="74"/>
      <c r="AU24" s="74"/>
      <c r="AV24" s="74"/>
      <c r="AW24" s="74"/>
      <c r="AX24" s="74"/>
      <c r="AY24" s="74"/>
      <c r="AZ24" s="74"/>
      <c r="BA24" s="74"/>
      <c r="BB24" s="74"/>
      <c r="BC24" s="70"/>
      <c r="BE24" s="9"/>
      <c r="BF24" s="74"/>
      <c r="BG24" s="74"/>
      <c r="BH24" s="74"/>
      <c r="BI24" s="74"/>
      <c r="BJ24" s="74"/>
      <c r="BK24" s="74"/>
      <c r="BL24" s="74"/>
      <c r="BM24" s="74"/>
      <c r="BN24" s="74"/>
      <c r="BO24" s="70"/>
      <c r="BQ24" s="9"/>
      <c r="BR24" s="74"/>
      <c r="BS24" s="74"/>
      <c r="BT24" s="74"/>
      <c r="BU24" s="74"/>
      <c r="BV24" s="74"/>
      <c r="BW24" s="74"/>
      <c r="BX24" s="74"/>
      <c r="BY24" s="74"/>
      <c r="BZ24" s="74"/>
      <c r="CA24" s="70"/>
      <c r="CC24" s="9"/>
      <c r="CD24" s="74"/>
      <c r="CE24" s="74"/>
      <c r="CF24" s="74"/>
      <c r="CG24" s="74"/>
      <c r="CH24" s="74"/>
      <c r="CI24" s="74"/>
      <c r="CJ24" s="74"/>
      <c r="CK24" s="74"/>
      <c r="CL24" s="74"/>
      <c r="CM24" s="70"/>
      <c r="CO24" s="9"/>
      <c r="CP24" s="74"/>
      <c r="CQ24" s="74"/>
      <c r="CR24" s="74"/>
      <c r="CS24" s="74"/>
      <c r="CT24" s="74"/>
      <c r="CU24" s="74"/>
      <c r="CV24" s="74"/>
      <c r="CW24" s="74"/>
      <c r="CX24" s="74"/>
      <c r="CY24" s="70"/>
    </row>
    <row r="25" spans="1:103" x14ac:dyDescent="0.3">
      <c r="A25" s="11"/>
      <c r="B25" s="1" t="s">
        <v>14</v>
      </c>
      <c r="C25" s="22">
        <v>0.31</v>
      </c>
      <c r="D25" s="11"/>
      <c r="E25" s="34"/>
      <c r="F25" s="72"/>
      <c r="J25" s="87"/>
      <c r="K25" s="83"/>
      <c r="V25" s="74"/>
      <c r="W25" s="17"/>
      <c r="Y25" s="8">
        <v>4.4000000000000004</v>
      </c>
      <c r="Z25" s="75">
        <f t="shared" si="0"/>
        <v>26.886250939143501</v>
      </c>
      <c r="AC25" s="2">
        <v>0.5</v>
      </c>
      <c r="AD25" s="2">
        <v>4.2</v>
      </c>
      <c r="AE25" s="2">
        <f t="shared" si="2"/>
        <v>1.05</v>
      </c>
      <c r="AF25" s="2">
        <f t="shared" si="3"/>
        <v>0.5</v>
      </c>
      <c r="AG25" s="18"/>
      <c r="AH25" s="2">
        <f>AH24+1</f>
        <v>6</v>
      </c>
      <c r="AI25" s="2">
        <f>INDEX(AC24:AC41,AH25)</f>
        <v>4</v>
      </c>
      <c r="AJ25" s="19">
        <f>INDEX(AE24:AE41,AH25)</f>
        <v>1.2424999999999999</v>
      </c>
      <c r="AK25" s="4"/>
      <c r="AL25" s="9"/>
      <c r="AP25" s="81"/>
      <c r="AQ25" s="9"/>
      <c r="AT25" s="74"/>
      <c r="AU25" s="74"/>
      <c r="AV25" s="74"/>
      <c r="AW25" s="74"/>
      <c r="AX25" s="74"/>
      <c r="AY25" s="74"/>
      <c r="AZ25" s="74"/>
      <c r="BA25" s="74"/>
      <c r="BB25" s="74"/>
      <c r="BC25" s="70"/>
      <c r="BE25" s="9"/>
      <c r="BF25" s="74"/>
      <c r="BG25" s="74"/>
      <c r="BH25" s="74"/>
      <c r="BI25" s="74"/>
      <c r="BJ25" s="74"/>
      <c r="BK25" s="74"/>
      <c r="BL25" s="74"/>
      <c r="BM25" s="74"/>
      <c r="BN25" s="74"/>
      <c r="BO25" s="70"/>
      <c r="BQ25" s="9"/>
      <c r="BR25" s="74"/>
      <c r="BS25" s="74"/>
      <c r="BT25" s="74"/>
      <c r="BU25" s="74"/>
      <c r="BV25" s="74"/>
      <c r="BW25" s="74"/>
      <c r="BX25" s="74"/>
      <c r="BY25" s="74"/>
      <c r="BZ25" s="74"/>
      <c r="CA25" s="70"/>
      <c r="CC25" s="9"/>
      <c r="CD25" s="74"/>
      <c r="CE25" s="74"/>
      <c r="CF25" s="74"/>
      <c r="CG25" s="74"/>
      <c r="CH25" s="74"/>
      <c r="CI25" s="74"/>
      <c r="CJ25" s="74"/>
      <c r="CK25" s="74"/>
      <c r="CL25" s="74"/>
      <c r="CM25" s="70"/>
      <c r="CO25" s="9"/>
      <c r="CP25" s="74"/>
      <c r="CQ25" s="74"/>
      <c r="CR25" s="74"/>
      <c r="CS25" s="74"/>
      <c r="CT25" s="74"/>
      <c r="CU25" s="74"/>
      <c r="CV25" s="74"/>
      <c r="CW25" s="74"/>
      <c r="CX25" s="74"/>
      <c r="CY25" s="70"/>
    </row>
    <row r="26" spans="1:103" x14ac:dyDescent="0.3">
      <c r="A26" s="11"/>
      <c r="B26" s="84"/>
      <c r="C26" s="93"/>
      <c r="D26" s="88"/>
      <c r="E26" s="14"/>
      <c r="F26" s="73"/>
      <c r="J26" s="92"/>
      <c r="K26" s="83"/>
      <c r="V26" s="74"/>
      <c r="W26" s="17"/>
      <c r="Y26" s="8">
        <v>4.5999999999999996</v>
      </c>
      <c r="Z26" s="75">
        <f t="shared" si="0"/>
        <v>26.264831100517796</v>
      </c>
      <c r="AC26" s="2">
        <v>1</v>
      </c>
      <c r="AD26" s="2">
        <v>4.3600000000000003</v>
      </c>
      <c r="AE26" s="2">
        <f t="shared" si="2"/>
        <v>1.0900000000000001</v>
      </c>
      <c r="AF26" s="2">
        <f t="shared" si="3"/>
        <v>1</v>
      </c>
      <c r="AP26" s="81"/>
      <c r="AQ26" s="9"/>
      <c r="AT26" s="74"/>
      <c r="AU26" s="74"/>
      <c r="AV26" s="74"/>
      <c r="AW26" s="74"/>
      <c r="AX26" s="74"/>
      <c r="AY26" s="74"/>
      <c r="AZ26" s="74"/>
      <c r="BA26" s="74"/>
      <c r="BB26" s="74"/>
      <c r="BC26" s="70"/>
      <c r="BE26" s="9"/>
      <c r="BF26" s="74"/>
      <c r="BG26" s="74"/>
      <c r="BH26" s="74"/>
      <c r="BI26" s="74"/>
      <c r="BJ26" s="74"/>
      <c r="BK26" s="74"/>
      <c r="BL26" s="74"/>
      <c r="BM26" s="74"/>
      <c r="BN26" s="74"/>
      <c r="BO26" s="70"/>
      <c r="BQ26" s="9"/>
      <c r="BR26" s="74"/>
      <c r="BS26" s="74"/>
      <c r="BT26" s="74"/>
      <c r="BU26" s="74"/>
      <c r="BV26" s="74"/>
      <c r="BW26" s="74"/>
      <c r="BX26" s="74"/>
      <c r="BY26" s="74"/>
      <c r="BZ26" s="74"/>
      <c r="CA26" s="70"/>
      <c r="CC26" s="9"/>
      <c r="CD26" s="74"/>
      <c r="CE26" s="74"/>
      <c r="CF26" s="74"/>
      <c r="CG26" s="74"/>
      <c r="CH26" s="74"/>
      <c r="CI26" s="74"/>
      <c r="CJ26" s="74"/>
      <c r="CK26" s="74"/>
      <c r="CL26" s="74"/>
      <c r="CM26" s="70"/>
      <c r="CO26" s="9"/>
      <c r="CP26" s="74"/>
      <c r="CQ26" s="74"/>
      <c r="CR26" s="74"/>
      <c r="CS26" s="74"/>
      <c r="CT26" s="74"/>
      <c r="CU26" s="74"/>
      <c r="CV26" s="74"/>
      <c r="CW26" s="74"/>
      <c r="CX26" s="74"/>
      <c r="CY26" s="70"/>
    </row>
    <row r="27" spans="1:103" x14ac:dyDescent="0.3">
      <c r="A27" s="11"/>
      <c r="B27" s="84"/>
      <c r="C27" s="93"/>
      <c r="D27" s="83"/>
      <c r="E27" s="14"/>
      <c r="G27" s="11"/>
      <c r="H27" s="11"/>
      <c r="J27" s="86"/>
      <c r="K27" s="83"/>
      <c r="V27" s="74"/>
      <c r="W27" s="17"/>
      <c r="X27" s="97">
        <f>Y27-Y19</f>
        <v>1.5999999999999996</v>
      </c>
      <c r="Y27" s="8">
        <v>4.8</v>
      </c>
      <c r="Z27" s="75">
        <f t="shared" si="0"/>
        <v>25.779976851851853</v>
      </c>
      <c r="AC27" s="2">
        <v>2</v>
      </c>
      <c r="AD27" s="2">
        <v>4.5999999999999996</v>
      </c>
      <c r="AE27" s="2">
        <f t="shared" si="2"/>
        <v>1.1499999999999999</v>
      </c>
      <c r="AF27" s="2">
        <f t="shared" si="3"/>
        <v>2</v>
      </c>
      <c r="AG27" s="70"/>
      <c r="AP27" s="81"/>
      <c r="AQ27" s="9"/>
      <c r="AT27" s="74"/>
      <c r="AU27" s="74"/>
      <c r="AV27" s="74"/>
      <c r="AW27" s="74"/>
      <c r="AX27" s="74"/>
      <c r="AY27" s="74"/>
      <c r="AZ27" s="74"/>
      <c r="BA27" s="74"/>
      <c r="BB27" s="74"/>
      <c r="BC27" s="70"/>
      <c r="BE27" s="9"/>
      <c r="BF27" s="74"/>
      <c r="BG27" s="74"/>
      <c r="BH27" s="74"/>
      <c r="BI27" s="74"/>
      <c r="BJ27" s="74"/>
      <c r="BK27" s="74"/>
      <c r="BL27" s="74"/>
      <c r="BM27" s="74"/>
      <c r="BN27" s="74"/>
      <c r="BO27" s="70"/>
      <c r="BQ27" s="9"/>
      <c r="BR27" s="74"/>
      <c r="BS27" s="74"/>
      <c r="BT27" s="74"/>
      <c r="BU27" s="74"/>
      <c r="BV27" s="74"/>
      <c r="BW27" s="74"/>
      <c r="BX27" s="74"/>
      <c r="BY27" s="74"/>
      <c r="BZ27" s="74"/>
      <c r="CA27" s="70"/>
      <c r="CC27" s="9"/>
      <c r="CD27" s="74"/>
      <c r="CE27" s="74"/>
      <c r="CF27" s="74"/>
      <c r="CG27" s="74"/>
      <c r="CH27" s="74"/>
      <c r="CI27" s="74"/>
      <c r="CJ27" s="74"/>
      <c r="CK27" s="74"/>
      <c r="CL27" s="74"/>
      <c r="CM27" s="70"/>
      <c r="CO27" s="9"/>
      <c r="CP27" s="74"/>
      <c r="CQ27" s="74"/>
      <c r="CR27" s="74"/>
      <c r="CS27" s="74"/>
      <c r="CT27" s="74"/>
      <c r="CU27" s="74"/>
      <c r="CV27" s="74"/>
      <c r="CW27" s="74"/>
      <c r="CX27" s="74"/>
      <c r="CY27" s="70"/>
    </row>
    <row r="28" spans="1:103" ht="15" x14ac:dyDescent="0.35">
      <c r="E28" s="34"/>
      <c r="H28" s="14" t="s">
        <v>66</v>
      </c>
      <c r="I28" s="107">
        <f>AC14</f>
        <v>24</v>
      </c>
      <c r="V28" s="74"/>
      <c r="W28" s="17"/>
      <c r="Y28" s="8">
        <v>5</v>
      </c>
      <c r="Z28" s="75">
        <f t="shared" si="0"/>
        <v>25.4</v>
      </c>
      <c r="AC28" s="2">
        <v>3</v>
      </c>
      <c r="AD28" s="2">
        <v>4.8</v>
      </c>
      <c r="AE28" s="2">
        <f t="shared" si="2"/>
        <v>1.2</v>
      </c>
      <c r="AF28" s="2">
        <f t="shared" si="3"/>
        <v>3</v>
      </c>
      <c r="AI28" s="70">
        <f>I43</f>
        <v>3.8893959508795204</v>
      </c>
      <c r="AJ28" s="2">
        <v>0</v>
      </c>
      <c r="AP28" s="81"/>
      <c r="AQ28" s="9"/>
      <c r="AT28" s="74"/>
      <c r="AU28" s="74"/>
      <c r="AV28" s="74"/>
      <c r="AW28" s="74"/>
      <c r="AX28" s="74"/>
      <c r="AY28" s="74"/>
      <c r="AZ28" s="74"/>
      <c r="BA28" s="74"/>
      <c r="BB28" s="74"/>
      <c r="BC28" s="70"/>
      <c r="BE28" s="9"/>
      <c r="BF28" s="74"/>
      <c r="BG28" s="74"/>
      <c r="BH28" s="74"/>
      <c r="BI28" s="74"/>
      <c r="BJ28" s="74"/>
      <c r="BK28" s="74"/>
      <c r="BL28" s="74"/>
      <c r="BM28" s="74"/>
      <c r="BN28" s="74"/>
      <c r="BO28" s="70"/>
      <c r="BQ28" s="9"/>
      <c r="BR28" s="74"/>
      <c r="BS28" s="74"/>
      <c r="BT28" s="74"/>
      <c r="BU28" s="74"/>
      <c r="BV28" s="74"/>
      <c r="BW28" s="74"/>
      <c r="BX28" s="74"/>
      <c r="BY28" s="74"/>
      <c r="BZ28" s="74"/>
      <c r="CA28" s="70"/>
      <c r="CC28" s="9"/>
      <c r="CD28" s="74"/>
      <c r="CE28" s="74"/>
      <c r="CF28" s="74"/>
      <c r="CG28" s="74"/>
      <c r="CH28" s="74"/>
      <c r="CI28" s="74"/>
      <c r="CJ28" s="74"/>
      <c r="CK28" s="74"/>
      <c r="CL28" s="74"/>
      <c r="CM28" s="70"/>
      <c r="CO28" s="9"/>
      <c r="CP28" s="74"/>
      <c r="CQ28" s="74"/>
      <c r="CR28" s="74"/>
      <c r="CS28" s="74"/>
      <c r="CT28" s="74"/>
      <c r="CU28" s="74"/>
      <c r="CV28" s="74"/>
      <c r="CW28" s="74"/>
      <c r="CX28" s="74"/>
      <c r="CY28" s="70"/>
    </row>
    <row r="29" spans="1:103" x14ac:dyDescent="0.3">
      <c r="B29" s="88"/>
      <c r="C29" s="83"/>
      <c r="D29" s="93"/>
      <c r="E29" s="83"/>
      <c r="F29" s="65"/>
      <c r="G29" s="84"/>
      <c r="H29" s="85"/>
      <c r="V29" s="74"/>
      <c r="W29" s="17"/>
      <c r="Y29" s="8">
        <v>5.2</v>
      </c>
      <c r="Z29" s="75">
        <f t="shared" si="0"/>
        <v>25.101137915339098</v>
      </c>
      <c r="AC29" s="2">
        <v>4</v>
      </c>
      <c r="AD29" s="2">
        <v>4.97</v>
      </c>
      <c r="AE29" s="2">
        <f t="shared" si="2"/>
        <v>1.2424999999999999</v>
      </c>
      <c r="AF29" s="2">
        <f t="shared" si="3"/>
        <v>4</v>
      </c>
      <c r="AI29" s="70">
        <f>AI28</f>
        <v>3.8893959508795204</v>
      </c>
      <c r="AJ29" s="2">
        <f>IF(I43&gt;500,1.74,AJ25-(AJ25-AJ24)/(AI25-AI24)*(AI25-I43))</f>
        <v>1.2377993279123796</v>
      </c>
      <c r="AP29" s="81"/>
      <c r="AQ29" s="9"/>
      <c r="AT29" s="74"/>
      <c r="AU29" s="74"/>
      <c r="AV29" s="74"/>
      <c r="AW29" s="74"/>
      <c r="AX29" s="74"/>
      <c r="AY29" s="74"/>
      <c r="AZ29" s="74"/>
      <c r="BA29" s="74"/>
      <c r="BB29" s="74"/>
      <c r="BC29" s="70"/>
      <c r="BE29" s="9"/>
      <c r="BF29" s="74"/>
      <c r="BG29" s="74"/>
      <c r="BH29" s="74"/>
      <c r="BI29" s="74"/>
      <c r="BJ29" s="74"/>
      <c r="BK29" s="74"/>
      <c r="BL29" s="74"/>
      <c r="BM29" s="74"/>
      <c r="BN29" s="74"/>
      <c r="BO29" s="70"/>
      <c r="BQ29" s="9"/>
      <c r="BR29" s="74"/>
      <c r="BS29" s="74"/>
      <c r="BT29" s="74"/>
      <c r="BU29" s="74"/>
      <c r="BV29" s="74"/>
      <c r="BW29" s="74"/>
      <c r="BX29" s="74"/>
      <c r="BY29" s="74"/>
      <c r="BZ29" s="74"/>
      <c r="CA29" s="70"/>
      <c r="CC29" s="9"/>
      <c r="CD29" s="74"/>
      <c r="CE29" s="74"/>
      <c r="CF29" s="74"/>
      <c r="CG29" s="74"/>
      <c r="CH29" s="74"/>
      <c r="CI29" s="74"/>
      <c r="CJ29" s="74"/>
      <c r="CK29" s="74"/>
      <c r="CL29" s="74"/>
      <c r="CM29" s="70"/>
      <c r="CO29" s="9"/>
      <c r="CP29" s="74"/>
      <c r="CQ29" s="74"/>
      <c r="CR29" s="74"/>
      <c r="CS29" s="74"/>
      <c r="CT29" s="74"/>
      <c r="CU29" s="74"/>
      <c r="CV29" s="74"/>
      <c r="CW29" s="74"/>
      <c r="CX29" s="74"/>
      <c r="CY29" s="70"/>
    </row>
    <row r="30" spans="1:103" x14ac:dyDescent="0.3">
      <c r="A30" s="11"/>
      <c r="B30" s="84"/>
      <c r="C30" s="91"/>
      <c r="D30" s="43"/>
      <c r="E30" s="43"/>
      <c r="F30" s="65"/>
      <c r="G30" s="43"/>
      <c r="V30" s="74"/>
      <c r="W30" s="17"/>
      <c r="Y30" s="8">
        <v>5.4</v>
      </c>
      <c r="Z30" s="75">
        <f t="shared" si="0"/>
        <v>24.865406696133718</v>
      </c>
      <c r="AC30" s="2">
        <v>6</v>
      </c>
      <c r="AD30" s="2">
        <v>5.25</v>
      </c>
      <c r="AE30" s="2">
        <f t="shared" si="2"/>
        <v>1.3125</v>
      </c>
      <c r="AF30" s="2">
        <f t="shared" si="3"/>
        <v>6</v>
      </c>
      <c r="AI30" s="2">
        <v>0.1</v>
      </c>
      <c r="AJ30" s="2">
        <f>AJ29</f>
        <v>1.2377993279123796</v>
      </c>
      <c r="AP30" s="81"/>
      <c r="AQ30" s="9"/>
      <c r="AT30" s="74"/>
      <c r="AU30" s="74"/>
      <c r="AV30" s="74"/>
      <c r="AW30" s="74"/>
      <c r="AX30" s="74"/>
      <c r="AY30" s="74"/>
      <c r="AZ30" s="74"/>
      <c r="BA30" s="74"/>
      <c r="BB30" s="74"/>
      <c r="BC30" s="70"/>
      <c r="BE30" s="9"/>
      <c r="BF30" s="74"/>
      <c r="BG30" s="74"/>
      <c r="BH30" s="74"/>
      <c r="BI30" s="74"/>
      <c r="BJ30" s="74"/>
      <c r="BK30" s="74"/>
      <c r="BL30" s="74"/>
      <c r="BM30" s="74"/>
      <c r="BN30" s="74"/>
      <c r="BO30" s="70"/>
      <c r="BQ30" s="9"/>
      <c r="BR30" s="74"/>
      <c r="BS30" s="74"/>
      <c r="BT30" s="74"/>
      <c r="BU30" s="74"/>
      <c r="BV30" s="74"/>
      <c r="BW30" s="74"/>
      <c r="BX30" s="74"/>
      <c r="BY30" s="74"/>
      <c r="BZ30" s="74"/>
      <c r="CA30" s="70"/>
      <c r="CC30" s="9"/>
      <c r="CD30" s="74"/>
      <c r="CE30" s="74"/>
      <c r="CF30" s="74"/>
      <c r="CG30" s="74"/>
      <c r="CH30" s="74"/>
      <c r="CI30" s="74"/>
      <c r="CJ30" s="74"/>
      <c r="CK30" s="74"/>
      <c r="CL30" s="74"/>
      <c r="CM30" s="70"/>
      <c r="CO30" s="9"/>
      <c r="CP30" s="74"/>
      <c r="CQ30" s="74"/>
      <c r="CR30" s="74"/>
      <c r="CS30" s="74"/>
      <c r="CT30" s="74"/>
      <c r="CU30" s="74"/>
      <c r="CV30" s="74"/>
      <c r="CW30" s="74"/>
      <c r="CX30" s="74"/>
      <c r="CY30" s="70"/>
    </row>
    <row r="31" spans="1:103" x14ac:dyDescent="0.3">
      <c r="A31" s="11"/>
      <c r="B31" s="84"/>
      <c r="C31" s="88"/>
      <c r="D31" s="93"/>
      <c r="E31" s="83"/>
      <c r="F31" s="65"/>
      <c r="G31" s="65"/>
      <c r="V31" s="74"/>
      <c r="W31" s="17"/>
      <c r="Y31" s="8">
        <v>5.6</v>
      </c>
      <c r="Z31" s="75">
        <f t="shared" si="0"/>
        <v>24.679081632653062</v>
      </c>
      <c r="AA31" s="24"/>
      <c r="AC31" s="2">
        <v>8</v>
      </c>
      <c r="AD31" s="2">
        <v>5.46</v>
      </c>
      <c r="AE31" s="2">
        <f t="shared" si="2"/>
        <v>1.365</v>
      </c>
      <c r="AF31" s="2">
        <f t="shared" si="3"/>
        <v>8</v>
      </c>
      <c r="AP31" s="81"/>
      <c r="AQ31" s="9"/>
      <c r="AT31" s="74"/>
      <c r="AU31" s="74"/>
      <c r="AV31" s="74"/>
      <c r="AW31" s="74"/>
      <c r="AX31" s="74"/>
      <c r="AY31" s="74"/>
      <c r="AZ31" s="74"/>
      <c r="BA31" s="74"/>
      <c r="BB31" s="74"/>
      <c r="BC31" s="70"/>
      <c r="BE31" s="9"/>
      <c r="BF31" s="74"/>
      <c r="BG31" s="74"/>
      <c r="BH31" s="74"/>
      <c r="BI31" s="74"/>
      <c r="BJ31" s="74"/>
      <c r="BK31" s="74"/>
      <c r="BL31" s="74"/>
      <c r="BM31" s="74"/>
      <c r="BN31" s="74"/>
      <c r="BO31" s="70"/>
      <c r="BQ31" s="9"/>
      <c r="BR31" s="74"/>
      <c r="BS31" s="74"/>
      <c r="BT31" s="74"/>
      <c r="BU31" s="74"/>
      <c r="BV31" s="74"/>
      <c r="BW31" s="74"/>
      <c r="BX31" s="74"/>
      <c r="BY31" s="74"/>
      <c r="BZ31" s="74"/>
      <c r="CA31" s="70"/>
      <c r="CC31" s="9"/>
      <c r="CD31" s="74"/>
      <c r="CE31" s="74"/>
      <c r="CF31" s="74"/>
      <c r="CG31" s="74"/>
      <c r="CH31" s="74"/>
      <c r="CI31" s="74"/>
      <c r="CJ31" s="74"/>
      <c r="CK31" s="74"/>
      <c r="CL31" s="74"/>
      <c r="CM31" s="70"/>
      <c r="CO31" s="9"/>
      <c r="CP31" s="74"/>
      <c r="CQ31" s="74"/>
      <c r="CR31" s="74"/>
      <c r="CS31" s="74"/>
      <c r="CT31" s="74"/>
      <c r="CU31" s="74"/>
      <c r="CV31" s="74"/>
      <c r="CW31" s="74"/>
      <c r="CX31" s="74"/>
      <c r="CY31" s="70"/>
    </row>
    <row r="32" spans="1:103" x14ac:dyDescent="0.3">
      <c r="B32" s="84"/>
      <c r="C32" s="94"/>
      <c r="D32" s="83"/>
      <c r="E32" s="83"/>
      <c r="F32" s="65"/>
      <c r="G32" s="43"/>
      <c r="H32" s="43"/>
      <c r="V32" s="74"/>
      <c r="W32" s="17"/>
      <c r="Y32" s="8">
        <v>5.8</v>
      </c>
      <c r="Z32" s="75">
        <f t="shared" si="0"/>
        <v>24.531608512034115</v>
      </c>
      <c r="AA32" s="24"/>
      <c r="AC32" s="2">
        <v>10</v>
      </c>
      <c r="AD32" s="2">
        <v>5.6</v>
      </c>
      <c r="AE32" s="2">
        <f t="shared" si="2"/>
        <v>1.4</v>
      </c>
      <c r="AF32" s="2">
        <f t="shared" si="3"/>
        <v>10</v>
      </c>
      <c r="AP32" s="81"/>
      <c r="AQ32" s="9"/>
      <c r="AT32" s="74"/>
      <c r="AU32" s="74"/>
      <c r="AV32" s="74"/>
      <c r="AW32" s="74"/>
      <c r="AX32" s="74"/>
      <c r="AY32" s="74"/>
      <c r="AZ32" s="74"/>
      <c r="BA32" s="74"/>
      <c r="BB32" s="74"/>
      <c r="BC32" s="70"/>
      <c r="BE32" s="9"/>
      <c r="BF32" s="74"/>
      <c r="BG32" s="74"/>
      <c r="BH32" s="74"/>
      <c r="BI32" s="74"/>
      <c r="BJ32" s="74"/>
      <c r="BK32" s="74"/>
      <c r="BL32" s="74"/>
      <c r="BM32" s="74"/>
      <c r="BN32" s="74"/>
      <c r="BO32" s="70"/>
      <c r="BQ32" s="9"/>
      <c r="BR32" s="74"/>
      <c r="BS32" s="74"/>
      <c r="BT32" s="74"/>
      <c r="BU32" s="74"/>
      <c r="BV32" s="74"/>
      <c r="BW32" s="74"/>
      <c r="BX32" s="74"/>
      <c r="BY32" s="74"/>
      <c r="BZ32" s="74"/>
      <c r="CA32" s="70"/>
      <c r="CC32" s="9"/>
      <c r="CD32" s="74"/>
      <c r="CE32" s="74"/>
      <c r="CF32" s="74"/>
      <c r="CG32" s="74"/>
      <c r="CH32" s="74"/>
      <c r="CI32" s="74"/>
      <c r="CJ32" s="74"/>
      <c r="CK32" s="74"/>
      <c r="CL32" s="74"/>
      <c r="CM32" s="70"/>
      <c r="CO32" s="9"/>
      <c r="CP32" s="74"/>
      <c r="CQ32" s="74"/>
      <c r="CR32" s="74"/>
      <c r="CS32" s="74"/>
      <c r="CT32" s="74"/>
      <c r="CU32" s="74"/>
      <c r="CV32" s="74"/>
      <c r="CW32" s="74"/>
      <c r="CX32" s="74"/>
      <c r="CY32" s="70"/>
    </row>
    <row r="33" spans="1:103" x14ac:dyDescent="0.3">
      <c r="V33" s="74"/>
      <c r="W33" s="17"/>
      <c r="X33" s="98">
        <f>Y33-Y27</f>
        <v>1.2000000000000002</v>
      </c>
      <c r="Y33" s="8">
        <v>6</v>
      </c>
      <c r="Z33" s="75">
        <f t="shared" si="0"/>
        <v>24.414814814814815</v>
      </c>
      <c r="AC33" s="2">
        <v>12</v>
      </c>
      <c r="AD33" s="2">
        <v>5.73</v>
      </c>
      <c r="AE33" s="2">
        <f t="shared" si="2"/>
        <v>1.4325000000000001</v>
      </c>
      <c r="AF33" s="2">
        <f t="shared" si="3"/>
        <v>12</v>
      </c>
      <c r="AG33" s="24"/>
      <c r="AJ33" s="24"/>
      <c r="AK33" s="24"/>
      <c r="AP33" s="81"/>
      <c r="AQ33" s="9"/>
      <c r="AT33" s="74"/>
      <c r="AU33" s="74"/>
      <c r="AV33" s="74"/>
      <c r="AW33" s="74"/>
      <c r="AX33" s="74"/>
      <c r="AY33" s="74"/>
      <c r="AZ33" s="74"/>
      <c r="BA33" s="74"/>
      <c r="BB33" s="74"/>
      <c r="BC33" s="70"/>
      <c r="BE33" s="9"/>
      <c r="BF33" s="74"/>
      <c r="BG33" s="74"/>
      <c r="BH33" s="74"/>
      <c r="BI33" s="74"/>
      <c r="BJ33" s="74"/>
      <c r="BK33" s="74"/>
      <c r="BL33" s="74"/>
      <c r="BM33" s="74"/>
      <c r="BN33" s="74"/>
      <c r="BO33" s="70"/>
      <c r="BQ33" s="9"/>
      <c r="BR33" s="74"/>
      <c r="BS33" s="74"/>
      <c r="BT33" s="74"/>
      <c r="BU33" s="74"/>
      <c r="BV33" s="74"/>
      <c r="BW33" s="74"/>
      <c r="BX33" s="74"/>
      <c r="BY33" s="74"/>
      <c r="BZ33" s="74"/>
      <c r="CA33" s="70"/>
      <c r="CC33" s="9"/>
      <c r="CD33" s="74"/>
      <c r="CE33" s="74"/>
      <c r="CF33" s="74"/>
      <c r="CG33" s="74"/>
      <c r="CH33" s="74"/>
      <c r="CI33" s="74"/>
      <c r="CJ33" s="74"/>
      <c r="CK33" s="74"/>
      <c r="CL33" s="74"/>
      <c r="CM33" s="70"/>
      <c r="CO33" s="9"/>
      <c r="CP33" s="74"/>
      <c r="CQ33" s="74"/>
      <c r="CR33" s="74"/>
      <c r="CS33" s="74"/>
      <c r="CT33" s="74"/>
      <c r="CU33" s="74"/>
      <c r="CV33" s="74"/>
      <c r="CW33" s="74"/>
      <c r="CX33" s="74"/>
      <c r="CY33" s="70"/>
    </row>
    <row r="34" spans="1:103" x14ac:dyDescent="0.3">
      <c r="V34" s="74"/>
      <c r="W34" s="17"/>
      <c r="Y34" s="8">
        <v>6.2</v>
      </c>
      <c r="Z34" s="75">
        <f t="shared" si="0"/>
        <v>24.32233224799436</v>
      </c>
      <c r="AA34" s="21"/>
      <c r="AC34" s="2">
        <v>16</v>
      </c>
      <c r="AD34" s="2">
        <v>5.93</v>
      </c>
      <c r="AE34" s="2">
        <f t="shared" si="2"/>
        <v>1.4824999999999999</v>
      </c>
      <c r="AF34" s="2">
        <f t="shared" si="3"/>
        <v>16</v>
      </c>
      <c r="AG34" s="24"/>
      <c r="AJ34" s="24"/>
      <c r="AK34" s="24"/>
      <c r="AP34" s="81"/>
      <c r="AQ34" s="9"/>
      <c r="AT34" s="74"/>
      <c r="AU34" s="74"/>
      <c r="AV34" s="74"/>
      <c r="AW34" s="74"/>
      <c r="AX34" s="74"/>
      <c r="AY34" s="74"/>
      <c r="AZ34" s="74"/>
      <c r="BA34" s="74"/>
      <c r="BB34" s="74"/>
      <c r="BC34" s="70"/>
      <c r="BE34" s="9"/>
      <c r="BF34" s="74"/>
      <c r="BG34" s="74"/>
      <c r="BH34" s="74"/>
      <c r="BI34" s="74"/>
      <c r="BJ34" s="74"/>
      <c r="BK34" s="74"/>
      <c r="BL34" s="74"/>
      <c r="BM34" s="74"/>
      <c r="BN34" s="74"/>
      <c r="BO34" s="70"/>
      <c r="BQ34" s="9"/>
      <c r="BR34" s="74"/>
      <c r="BS34" s="74"/>
      <c r="BT34" s="74"/>
      <c r="BU34" s="74"/>
      <c r="BV34" s="74"/>
      <c r="BW34" s="74"/>
      <c r="BX34" s="74"/>
      <c r="BY34" s="74"/>
      <c r="BZ34" s="74"/>
      <c r="CA34" s="70"/>
      <c r="CC34" s="9"/>
      <c r="CD34" s="74"/>
      <c r="CE34" s="74"/>
      <c r="CF34" s="74"/>
      <c r="CG34" s="74"/>
      <c r="CH34" s="74"/>
      <c r="CI34" s="74"/>
      <c r="CJ34" s="74"/>
      <c r="CK34" s="74"/>
      <c r="CL34" s="74"/>
      <c r="CM34" s="70"/>
      <c r="CO34" s="9"/>
      <c r="CP34" s="74"/>
      <c r="CQ34" s="74"/>
      <c r="CR34" s="74"/>
      <c r="CS34" s="74"/>
      <c r="CT34" s="74"/>
      <c r="CU34" s="74"/>
      <c r="CV34" s="74"/>
      <c r="CW34" s="74"/>
      <c r="CX34" s="74"/>
      <c r="CY34" s="70"/>
    </row>
    <row r="35" spans="1:103" x14ac:dyDescent="0.3">
      <c r="V35" s="74"/>
      <c r="W35" s="17"/>
      <c r="Y35" s="8">
        <v>6.9</v>
      </c>
      <c r="Z35" s="75">
        <f t="shared" si="0"/>
        <v>24.126959687558028</v>
      </c>
      <c r="AA35" s="21"/>
      <c r="AC35" s="2">
        <v>20</v>
      </c>
      <c r="AD35" s="2">
        <v>6.07</v>
      </c>
      <c r="AE35" s="2">
        <f t="shared" si="2"/>
        <v>1.5175000000000001</v>
      </c>
      <c r="AF35" s="2">
        <f t="shared" si="3"/>
        <v>20</v>
      </c>
      <c r="AJ35" s="24"/>
      <c r="AK35" s="24"/>
      <c r="AP35" s="81"/>
      <c r="AQ35" s="9"/>
      <c r="AT35" s="74"/>
      <c r="AU35" s="74"/>
      <c r="AV35" s="74"/>
      <c r="AW35" s="74"/>
      <c r="AX35" s="74"/>
      <c r="AY35" s="74"/>
      <c r="AZ35" s="74"/>
      <c r="BA35" s="74"/>
      <c r="BB35" s="74"/>
      <c r="BC35" s="70"/>
      <c r="BE35" s="9"/>
      <c r="BF35" s="74"/>
      <c r="BG35" s="74"/>
      <c r="BH35" s="74"/>
      <c r="BI35" s="74"/>
      <c r="BJ35" s="74"/>
      <c r="BK35" s="74"/>
      <c r="BL35" s="74"/>
      <c r="BM35" s="74"/>
      <c r="BN35" s="74"/>
      <c r="BO35" s="70"/>
      <c r="BQ35" s="9"/>
      <c r="BR35" s="74"/>
      <c r="BS35" s="74"/>
      <c r="BT35" s="74"/>
      <c r="BU35" s="74"/>
      <c r="BV35" s="74"/>
      <c r="BW35" s="74"/>
      <c r="BX35" s="74"/>
      <c r="BY35" s="74"/>
      <c r="BZ35" s="74"/>
      <c r="CA35" s="70"/>
      <c r="CC35" s="9"/>
      <c r="CD35" s="74"/>
      <c r="CE35" s="74"/>
      <c r="CF35" s="74"/>
      <c r="CG35" s="74"/>
      <c r="CH35" s="74"/>
      <c r="CI35" s="74"/>
      <c r="CJ35" s="74"/>
      <c r="CK35" s="74"/>
      <c r="CL35" s="74"/>
      <c r="CM35" s="70"/>
      <c r="CO35" s="9"/>
      <c r="CP35" s="74"/>
      <c r="CQ35" s="74"/>
      <c r="CR35" s="74"/>
      <c r="CS35" s="74"/>
      <c r="CT35" s="74"/>
      <c r="CU35" s="74"/>
      <c r="CV35" s="74"/>
      <c r="CW35" s="74"/>
      <c r="CX35" s="74"/>
      <c r="CY35" s="70"/>
    </row>
    <row r="36" spans="1:103" x14ac:dyDescent="0.3">
      <c r="A36" s="11"/>
      <c r="F36" s="11"/>
      <c r="V36" s="74"/>
      <c r="W36" s="17"/>
      <c r="Y36" s="8">
        <v>7.6</v>
      </c>
      <c r="Z36" s="75">
        <f t="shared" si="0"/>
        <v>24.04408805948389</v>
      </c>
      <c r="AA36" s="21"/>
      <c r="AB36" s="9"/>
      <c r="AC36" s="2">
        <v>30</v>
      </c>
      <c r="AD36" s="2">
        <v>6.298</v>
      </c>
      <c r="AE36" s="2">
        <f t="shared" si="2"/>
        <v>1.5745</v>
      </c>
      <c r="AF36" s="2">
        <f t="shared" si="3"/>
        <v>30</v>
      </c>
      <c r="AJ36" s="24"/>
      <c r="AK36" s="24"/>
      <c r="AP36" s="81"/>
      <c r="AQ36" s="9"/>
      <c r="AT36" s="74"/>
      <c r="AU36" s="74"/>
      <c r="AV36" s="74"/>
      <c r="AW36" s="74"/>
      <c r="AX36" s="74"/>
      <c r="AY36" s="74"/>
      <c r="AZ36" s="74"/>
      <c r="BA36" s="74"/>
      <c r="BB36" s="74"/>
      <c r="BC36" s="70"/>
      <c r="BE36" s="9"/>
      <c r="BF36" s="74"/>
      <c r="BG36" s="74"/>
      <c r="BH36" s="74"/>
      <c r="BI36" s="74"/>
      <c r="BJ36" s="74"/>
      <c r="BK36" s="74"/>
      <c r="BL36" s="74"/>
      <c r="BM36" s="74"/>
      <c r="BN36" s="74"/>
      <c r="BO36" s="70"/>
      <c r="BQ36" s="9"/>
      <c r="BR36" s="74"/>
      <c r="BS36" s="74"/>
      <c r="BT36" s="74"/>
      <c r="BU36" s="74"/>
      <c r="BV36" s="74"/>
      <c r="BW36" s="74"/>
      <c r="BX36" s="74"/>
      <c r="BY36" s="74"/>
      <c r="BZ36" s="74"/>
      <c r="CA36" s="70"/>
      <c r="CC36" s="9"/>
      <c r="CD36" s="74"/>
      <c r="CE36" s="74"/>
      <c r="CF36" s="74"/>
      <c r="CG36" s="74"/>
      <c r="CH36" s="74"/>
      <c r="CI36" s="74"/>
      <c r="CJ36" s="74"/>
      <c r="CK36" s="74"/>
      <c r="CL36" s="74"/>
      <c r="CM36" s="70"/>
      <c r="CO36" s="9"/>
      <c r="CP36" s="74"/>
      <c r="CQ36" s="74"/>
      <c r="CR36" s="74"/>
      <c r="CS36" s="74"/>
      <c r="CT36" s="74"/>
      <c r="CU36" s="74"/>
      <c r="CV36" s="74"/>
      <c r="CW36" s="74"/>
      <c r="CX36" s="74"/>
      <c r="CY36" s="70"/>
    </row>
    <row r="37" spans="1:103" x14ac:dyDescent="0.3">
      <c r="A37" s="11"/>
      <c r="F37" s="11"/>
      <c r="G37" s="26"/>
      <c r="I37" s="11"/>
      <c r="J37" s="11"/>
      <c r="K37" s="11"/>
      <c r="V37" s="74"/>
      <c r="W37" s="17"/>
      <c r="Y37" s="8">
        <v>8.3000000000000007</v>
      </c>
      <c r="Z37" s="75">
        <f t="shared" si="0"/>
        <v>24.012029304618679</v>
      </c>
      <c r="AA37" s="21"/>
      <c r="AB37" s="7"/>
      <c r="AC37" s="2">
        <v>40</v>
      </c>
      <c r="AD37" s="2">
        <v>6.42</v>
      </c>
      <c r="AE37" s="2">
        <f t="shared" si="2"/>
        <v>1.605</v>
      </c>
      <c r="AF37" s="2">
        <f t="shared" si="3"/>
        <v>40</v>
      </c>
      <c r="AJ37" s="24"/>
      <c r="AK37" s="24"/>
      <c r="AP37" s="81"/>
      <c r="AQ37" s="9"/>
      <c r="AT37" s="74"/>
      <c r="AU37" s="74"/>
      <c r="AV37" s="74"/>
      <c r="AW37" s="74"/>
      <c r="AX37" s="74"/>
      <c r="AY37" s="74"/>
      <c r="AZ37" s="74"/>
      <c r="BA37" s="74"/>
      <c r="BB37" s="74"/>
      <c r="BC37" s="70"/>
      <c r="BE37" s="9"/>
      <c r="BF37" s="74"/>
      <c r="BG37" s="74"/>
      <c r="BH37" s="74"/>
      <c r="BI37" s="74"/>
      <c r="BJ37" s="74"/>
      <c r="BK37" s="74"/>
      <c r="BL37" s="74"/>
      <c r="BM37" s="74"/>
      <c r="BN37" s="74"/>
      <c r="BO37" s="70"/>
      <c r="BQ37" s="9"/>
      <c r="BR37" s="74"/>
      <c r="BS37" s="74"/>
      <c r="BT37" s="74"/>
      <c r="BU37" s="74"/>
      <c r="BV37" s="74"/>
      <c r="BW37" s="74"/>
      <c r="BX37" s="74"/>
      <c r="BY37" s="74"/>
      <c r="BZ37" s="74"/>
      <c r="CA37" s="70"/>
      <c r="CC37" s="9"/>
      <c r="CD37" s="74"/>
      <c r="CE37" s="74"/>
      <c r="CF37" s="74"/>
      <c r="CG37" s="74"/>
      <c r="CH37" s="74"/>
      <c r="CI37" s="74"/>
      <c r="CJ37" s="74"/>
      <c r="CK37" s="74"/>
      <c r="CL37" s="74"/>
      <c r="CM37" s="70"/>
      <c r="CO37" s="9"/>
      <c r="CP37" s="74"/>
      <c r="CQ37" s="74"/>
      <c r="CR37" s="74"/>
      <c r="CS37" s="74"/>
      <c r="CT37" s="74"/>
      <c r="CU37" s="74"/>
      <c r="CV37" s="74"/>
      <c r="CW37" s="74"/>
      <c r="CX37" s="74"/>
      <c r="CY37" s="70"/>
    </row>
    <row r="38" spans="1:103" x14ac:dyDescent="0.3">
      <c r="A38" s="11"/>
      <c r="G38" s="11"/>
      <c r="I38" s="11"/>
      <c r="J38" s="11"/>
      <c r="K38" s="11"/>
      <c r="V38" s="74"/>
      <c r="W38" s="17"/>
      <c r="Y38" s="8">
        <v>9</v>
      </c>
      <c r="Z38" s="75">
        <f t="shared" si="0"/>
        <v>24.001920438957477</v>
      </c>
      <c r="AA38" s="21"/>
      <c r="AB38" s="7"/>
      <c r="AC38" s="2">
        <v>70</v>
      </c>
      <c r="AD38" s="2">
        <v>6.63</v>
      </c>
      <c r="AE38" s="2">
        <f t="shared" si="2"/>
        <v>1.6575</v>
      </c>
      <c r="AF38" s="2">
        <f t="shared" si="3"/>
        <v>70</v>
      </c>
      <c r="AL38" s="9"/>
      <c r="AP38" s="81"/>
      <c r="AQ38" s="9"/>
      <c r="AT38" s="74"/>
      <c r="AU38" s="74"/>
      <c r="AV38" s="74"/>
      <c r="AW38" s="74"/>
      <c r="AX38" s="74"/>
      <c r="AY38" s="74"/>
      <c r="AZ38" s="74"/>
      <c r="BA38" s="74"/>
      <c r="BB38" s="74"/>
      <c r="BC38" s="70"/>
      <c r="BE38" s="9"/>
      <c r="BF38" s="74"/>
      <c r="BG38" s="74"/>
      <c r="BH38" s="74"/>
      <c r="BI38" s="74"/>
      <c r="BJ38" s="74"/>
      <c r="BK38" s="74"/>
      <c r="BL38" s="74"/>
      <c r="BM38" s="74"/>
      <c r="BN38" s="74"/>
      <c r="BO38" s="70"/>
      <c r="BQ38" s="9"/>
      <c r="BR38" s="74"/>
      <c r="BS38" s="74"/>
      <c r="BT38" s="74"/>
      <c r="BU38" s="74"/>
      <c r="BV38" s="74"/>
      <c r="BW38" s="74"/>
      <c r="BX38" s="74"/>
      <c r="BY38" s="74"/>
      <c r="BZ38" s="74"/>
      <c r="CA38" s="70"/>
      <c r="CC38" s="9"/>
      <c r="CD38" s="74"/>
      <c r="CE38" s="74"/>
      <c r="CF38" s="74"/>
      <c r="CG38" s="74"/>
      <c r="CH38" s="74"/>
      <c r="CI38" s="74"/>
      <c r="CJ38" s="74"/>
      <c r="CK38" s="74"/>
      <c r="CL38" s="74"/>
      <c r="CM38" s="70"/>
      <c r="CO38" s="9"/>
      <c r="CP38" s="74"/>
      <c r="CQ38" s="74"/>
      <c r="CR38" s="74"/>
      <c r="CS38" s="74"/>
      <c r="CT38" s="74"/>
      <c r="CU38" s="74"/>
      <c r="CV38" s="74"/>
      <c r="CW38" s="74"/>
      <c r="CX38" s="74"/>
      <c r="CY38" s="70"/>
    </row>
    <row r="39" spans="1:103" x14ac:dyDescent="0.3">
      <c r="A39" s="11"/>
      <c r="H39" s="26"/>
      <c r="I39" s="26"/>
      <c r="J39" s="26"/>
      <c r="K39" s="11"/>
      <c r="V39" s="74"/>
      <c r="W39" s="17"/>
      <c r="X39" s="97">
        <f>Y39-Y33</f>
        <v>3.6999999999999993</v>
      </c>
      <c r="Y39" s="8">
        <v>9.6999999999999993</v>
      </c>
      <c r="Z39" s="75">
        <f t="shared" si="0"/>
        <v>24.000041416805363</v>
      </c>
      <c r="AA39" s="21"/>
      <c r="AB39" s="29"/>
      <c r="AC39" s="2">
        <v>100</v>
      </c>
      <c r="AD39" s="2">
        <v>6.72</v>
      </c>
      <c r="AE39" s="2">
        <f t="shared" si="2"/>
        <v>1.68</v>
      </c>
      <c r="AF39" s="2">
        <f t="shared" si="3"/>
        <v>100</v>
      </c>
      <c r="AL39" s="7"/>
      <c r="AP39" s="81"/>
      <c r="AQ39" s="9"/>
      <c r="AT39" s="74"/>
      <c r="AU39" s="74"/>
      <c r="AV39" s="74"/>
      <c r="AW39" s="74"/>
      <c r="AX39" s="74"/>
      <c r="AY39" s="74"/>
      <c r="AZ39" s="74"/>
      <c r="BA39" s="74"/>
      <c r="BB39" s="74"/>
      <c r="BC39" s="70"/>
      <c r="BE39" s="9"/>
      <c r="BF39" s="74"/>
      <c r="BG39" s="74"/>
      <c r="BH39" s="74"/>
      <c r="BI39" s="74"/>
      <c r="BJ39" s="74"/>
      <c r="BK39" s="74"/>
      <c r="BL39" s="74"/>
      <c r="BM39" s="74"/>
      <c r="BN39" s="74"/>
      <c r="BO39" s="70"/>
      <c r="BQ39" s="9"/>
      <c r="BR39" s="74"/>
      <c r="BS39" s="74"/>
      <c r="BT39" s="74"/>
      <c r="BU39" s="74"/>
      <c r="BV39" s="74"/>
      <c r="BW39" s="74"/>
      <c r="BX39" s="74"/>
      <c r="BY39" s="74"/>
      <c r="BZ39" s="74"/>
      <c r="CA39" s="70"/>
      <c r="CC39" s="9"/>
      <c r="CD39" s="74"/>
      <c r="CE39" s="74"/>
      <c r="CF39" s="74"/>
      <c r="CG39" s="74"/>
      <c r="CH39" s="74"/>
      <c r="CI39" s="74"/>
      <c r="CJ39" s="74"/>
      <c r="CK39" s="74"/>
      <c r="CL39" s="74"/>
      <c r="CM39" s="70"/>
      <c r="CO39" s="9"/>
      <c r="CP39" s="74"/>
      <c r="CQ39" s="74"/>
      <c r="CR39" s="74"/>
      <c r="CS39" s="74"/>
      <c r="CT39" s="74"/>
      <c r="CU39" s="74"/>
      <c r="CV39" s="74"/>
      <c r="CW39" s="74"/>
      <c r="CX39" s="74"/>
      <c r="CY39" s="70"/>
    </row>
    <row r="40" spans="1:103" x14ac:dyDescent="0.3">
      <c r="A40" s="11"/>
      <c r="V40" s="74"/>
      <c r="W40" s="17"/>
      <c r="Y40" s="8">
        <v>10.4</v>
      </c>
      <c r="Z40" s="75">
        <f t="shared" si="0"/>
        <v>23.999920345926263</v>
      </c>
      <c r="AA40" s="21"/>
      <c r="AB40" s="9"/>
      <c r="AC40" s="2">
        <v>200</v>
      </c>
      <c r="AD40" s="2">
        <v>6.85</v>
      </c>
      <c r="AE40" s="2">
        <f t="shared" si="2"/>
        <v>1.7124999999999999</v>
      </c>
      <c r="AF40" s="2">
        <f t="shared" si="3"/>
        <v>200</v>
      </c>
      <c r="AG40" s="27"/>
      <c r="AJ40" s="27"/>
      <c r="AK40" s="21"/>
      <c r="AL40" s="7"/>
      <c r="AP40" s="81"/>
      <c r="AQ40" s="9"/>
      <c r="AT40" s="74"/>
      <c r="AU40" s="74"/>
      <c r="AV40" s="74"/>
      <c r="AW40" s="74"/>
      <c r="AX40" s="74"/>
      <c r="AY40" s="74"/>
      <c r="AZ40" s="74"/>
      <c r="BA40" s="74"/>
      <c r="BB40" s="74"/>
      <c r="BC40" s="70"/>
      <c r="BE40" s="9"/>
      <c r="BF40" s="74"/>
      <c r="BG40" s="74"/>
      <c r="BH40" s="74"/>
      <c r="BI40" s="74"/>
      <c r="BJ40" s="74"/>
      <c r="BK40" s="74"/>
      <c r="BL40" s="74"/>
      <c r="BM40" s="74"/>
      <c r="BN40" s="74"/>
      <c r="BO40" s="70"/>
      <c r="BQ40" s="9"/>
      <c r="BR40" s="74"/>
      <c r="BS40" s="74"/>
      <c r="BT40" s="74"/>
      <c r="BU40" s="74"/>
      <c r="BV40" s="74"/>
      <c r="BW40" s="74"/>
      <c r="BX40" s="74"/>
      <c r="BY40" s="74"/>
      <c r="BZ40" s="74"/>
      <c r="CA40" s="70"/>
      <c r="CC40" s="9"/>
      <c r="CD40" s="74"/>
      <c r="CE40" s="74"/>
      <c r="CF40" s="74"/>
      <c r="CG40" s="74"/>
      <c r="CH40" s="74"/>
      <c r="CI40" s="74"/>
      <c r="CJ40" s="74"/>
      <c r="CK40" s="74"/>
      <c r="CL40" s="74"/>
      <c r="CM40" s="70"/>
      <c r="CO40" s="9"/>
      <c r="CP40" s="74"/>
      <c r="CQ40" s="74"/>
      <c r="CR40" s="74"/>
      <c r="CS40" s="74"/>
      <c r="CT40" s="74"/>
      <c r="CU40" s="74"/>
      <c r="CV40" s="74"/>
      <c r="CW40" s="74"/>
      <c r="CX40" s="74"/>
      <c r="CY40" s="70"/>
    </row>
    <row r="41" spans="1:103" x14ac:dyDescent="0.3">
      <c r="A41" s="11"/>
      <c r="B41" s="11"/>
      <c r="C41" s="11"/>
      <c r="D41" s="11"/>
      <c r="E41" s="11"/>
      <c r="F41" s="11"/>
      <c r="G41" s="11"/>
      <c r="V41" s="74"/>
      <c r="W41" s="17"/>
      <c r="Y41" s="8">
        <v>11.1</v>
      </c>
      <c r="Z41" s="75">
        <f t="shared" si="0"/>
        <v>23.998637497980084</v>
      </c>
      <c r="AA41" s="21"/>
      <c r="AB41" s="9"/>
      <c r="AC41" s="2">
        <v>500</v>
      </c>
      <c r="AD41" s="2">
        <v>6.96</v>
      </c>
      <c r="AE41" s="2">
        <f t="shared" si="2"/>
        <v>1.74</v>
      </c>
      <c r="AF41" s="2">
        <f t="shared" si="3"/>
        <v>500</v>
      </c>
      <c r="AG41" s="27"/>
      <c r="AJ41" s="28"/>
      <c r="AK41" s="21"/>
      <c r="AL41" s="29"/>
      <c r="AP41" s="81"/>
      <c r="AQ41" s="9"/>
      <c r="AT41" s="74"/>
      <c r="AU41" s="74"/>
      <c r="AV41" s="74"/>
      <c r="AW41" s="74"/>
      <c r="AX41" s="74"/>
      <c r="AY41" s="74"/>
      <c r="AZ41" s="74"/>
      <c r="BA41" s="74"/>
      <c r="BB41" s="74"/>
      <c r="BC41" s="70"/>
      <c r="BE41" s="9"/>
      <c r="BF41" s="74"/>
      <c r="BG41" s="74"/>
      <c r="BH41" s="74"/>
      <c r="BI41" s="74"/>
      <c r="BJ41" s="74"/>
      <c r="BK41" s="74"/>
      <c r="BL41" s="74"/>
      <c r="BM41" s="74"/>
      <c r="BN41" s="74"/>
      <c r="BO41" s="70"/>
      <c r="BQ41" s="9"/>
      <c r="BR41" s="74"/>
      <c r="BS41" s="74"/>
      <c r="BT41" s="74"/>
      <c r="BU41" s="74"/>
      <c r="BV41" s="74"/>
      <c r="BW41" s="74"/>
      <c r="BX41" s="74"/>
      <c r="BY41" s="74"/>
      <c r="BZ41" s="74"/>
      <c r="CA41" s="70"/>
      <c r="CC41" s="9"/>
      <c r="CD41" s="74"/>
      <c r="CE41" s="74"/>
      <c r="CF41" s="74"/>
      <c r="CG41" s="74"/>
      <c r="CH41" s="74"/>
      <c r="CI41" s="74"/>
      <c r="CJ41" s="74"/>
      <c r="CK41" s="74"/>
      <c r="CL41" s="74"/>
      <c r="CM41" s="70"/>
      <c r="CO41" s="9"/>
      <c r="CP41" s="74"/>
      <c r="CQ41" s="74"/>
      <c r="CR41" s="74"/>
      <c r="CS41" s="74"/>
      <c r="CT41" s="74"/>
      <c r="CU41" s="74"/>
      <c r="CV41" s="74"/>
      <c r="CW41" s="74"/>
      <c r="CX41" s="74"/>
      <c r="CY41" s="70"/>
    </row>
    <row r="42" spans="1:103" x14ac:dyDescent="0.3">
      <c r="A42" s="11"/>
      <c r="B42" s="11"/>
      <c r="C42" s="11"/>
      <c r="D42" s="11"/>
      <c r="E42" s="11"/>
      <c r="F42" s="11"/>
      <c r="G42" s="11"/>
      <c r="H42" s="53" t="s">
        <v>64</v>
      </c>
      <c r="I42" s="71" t="str">
        <f>[1]!xln(I43)</f>
        <v>4 × 150 × 4 / 617</v>
      </c>
      <c r="K42" s="11"/>
      <c r="V42" s="74"/>
      <c r="W42" s="17"/>
      <c r="Y42" s="8">
        <v>11.8</v>
      </c>
      <c r="Z42" s="75">
        <f t="shared" si="0"/>
        <v>23.995030650650747</v>
      </c>
      <c r="AA42" s="21"/>
      <c r="AB42" s="7"/>
      <c r="AC42" s="17"/>
      <c r="AD42" s="74"/>
      <c r="AE42" s="17"/>
      <c r="AF42" s="27"/>
      <c r="AG42" s="28"/>
      <c r="AJ42" s="28"/>
      <c r="AK42" s="21"/>
      <c r="AL42" s="9"/>
      <c r="AP42" s="81"/>
      <c r="AQ42" s="9"/>
      <c r="AT42" s="74"/>
      <c r="AU42" s="74"/>
      <c r="AV42" s="74"/>
      <c r="AW42" s="74"/>
      <c r="AX42" s="74"/>
      <c r="AY42" s="74"/>
      <c r="AZ42" s="74"/>
      <c r="BA42" s="74"/>
      <c r="BB42" s="74"/>
      <c r="BC42" s="70"/>
      <c r="BE42" s="9"/>
      <c r="BF42" s="74"/>
      <c r="BG42" s="74"/>
      <c r="BH42" s="74"/>
      <c r="BI42" s="74"/>
      <c r="BJ42" s="74"/>
      <c r="BK42" s="74"/>
      <c r="BL42" s="74"/>
      <c r="BM42" s="74"/>
      <c r="BN42" s="74"/>
      <c r="BO42" s="70"/>
      <c r="BQ42" s="9"/>
      <c r="BR42" s="74"/>
      <c r="BS42" s="74"/>
      <c r="BT42" s="74"/>
      <c r="BU42" s="74"/>
      <c r="BV42" s="74"/>
      <c r="BW42" s="74"/>
      <c r="BX42" s="74"/>
      <c r="BY42" s="74"/>
      <c r="BZ42" s="74"/>
      <c r="CA42" s="70"/>
      <c r="CC42" s="9"/>
      <c r="CD42" s="74"/>
      <c r="CE42" s="74"/>
      <c r="CF42" s="74"/>
      <c r="CG42" s="74"/>
      <c r="CH42" s="74"/>
      <c r="CI42" s="74"/>
      <c r="CJ42" s="74"/>
      <c r="CK42" s="74"/>
      <c r="CL42" s="74"/>
      <c r="CM42" s="70"/>
      <c r="CO42" s="9"/>
      <c r="CP42" s="74"/>
      <c r="CQ42" s="74"/>
      <c r="CR42" s="74"/>
      <c r="CS42" s="74"/>
      <c r="CT42" s="74"/>
      <c r="CU42" s="74"/>
      <c r="CV42" s="74"/>
      <c r="CW42" s="74"/>
      <c r="CX42" s="74"/>
      <c r="CY42" s="70"/>
    </row>
    <row r="43" spans="1:103" x14ac:dyDescent="0.3">
      <c r="A43" s="11"/>
      <c r="E43" s="11"/>
      <c r="H43" s="91"/>
      <c r="I43" s="108">
        <f>4*G21*G17/G23</f>
        <v>3.8893959508795204</v>
      </c>
      <c r="J43" s="11"/>
      <c r="K43" s="11"/>
      <c r="V43" s="74"/>
      <c r="W43" s="17"/>
      <c r="Y43" s="8">
        <v>12.5</v>
      </c>
      <c r="Z43" s="75">
        <f t="shared" si="0"/>
        <v>23.988800000000001</v>
      </c>
      <c r="AA43" s="21"/>
      <c r="AB43" s="7"/>
      <c r="AC43" s="17"/>
      <c r="AD43" s="74"/>
      <c r="AE43" s="17"/>
      <c r="AF43" s="27"/>
      <c r="AG43" s="28"/>
      <c r="AJ43" s="27"/>
      <c r="AK43" s="21"/>
      <c r="AL43" s="9"/>
      <c r="AP43" s="81"/>
      <c r="AQ43" s="9"/>
      <c r="AT43" s="74"/>
      <c r="AU43" s="74"/>
      <c r="AV43" s="74"/>
      <c r="AW43" s="74"/>
      <c r="AX43" s="74"/>
      <c r="AY43" s="74"/>
      <c r="AZ43" s="74"/>
      <c r="BA43" s="74"/>
      <c r="BB43" s="74"/>
      <c r="BC43" s="70"/>
      <c r="BE43" s="9"/>
      <c r="BF43" s="74"/>
      <c r="BG43" s="74"/>
      <c r="BH43" s="74"/>
      <c r="BI43" s="74"/>
      <c r="BJ43" s="74"/>
      <c r="BK43" s="74"/>
      <c r="BL43" s="74"/>
      <c r="BM43" s="74"/>
      <c r="BN43" s="74"/>
      <c r="BO43" s="70"/>
      <c r="BQ43" s="9"/>
      <c r="BR43" s="74"/>
      <c r="BS43" s="74"/>
      <c r="BT43" s="74"/>
      <c r="BU43" s="74"/>
      <c r="BV43" s="74"/>
      <c r="BW43" s="74"/>
      <c r="BX43" s="74"/>
      <c r="BY43" s="74"/>
      <c r="BZ43" s="74"/>
      <c r="CA43" s="70"/>
      <c r="CC43" s="9"/>
      <c r="CD43" s="74"/>
      <c r="CE43" s="74"/>
      <c r="CF43" s="74"/>
      <c r="CG43" s="74"/>
      <c r="CH43" s="74"/>
      <c r="CI43" s="74"/>
      <c r="CJ43" s="74"/>
      <c r="CK43" s="74"/>
      <c r="CL43" s="74"/>
      <c r="CM43" s="70"/>
      <c r="CO43" s="9"/>
      <c r="CP43" s="74"/>
      <c r="CQ43" s="74"/>
      <c r="CR43" s="74"/>
      <c r="CS43" s="74"/>
      <c r="CT43" s="74"/>
      <c r="CU43" s="74"/>
      <c r="CV43" s="74"/>
      <c r="CW43" s="74"/>
      <c r="CX43" s="74"/>
      <c r="CY43" s="70"/>
    </row>
    <row r="44" spans="1:103" x14ac:dyDescent="0.3">
      <c r="A44" s="11"/>
      <c r="V44" s="74"/>
      <c r="W44" s="17"/>
      <c r="X44" s="74">
        <f>Y44-Y39</f>
        <v>3.5</v>
      </c>
      <c r="Y44" s="8">
        <v>13.2</v>
      </c>
      <c r="Z44" s="75">
        <f t="shared" si="0"/>
        <v>23.980053983359767</v>
      </c>
      <c r="AB44" s="7"/>
      <c r="AE44" s="17"/>
      <c r="AF44" s="74"/>
      <c r="AG44" s="17"/>
      <c r="AI44" s="28"/>
      <c r="AJ44" s="28"/>
      <c r="AK44" s="21"/>
      <c r="AL44" s="7"/>
      <c r="AP44" s="81"/>
      <c r="AQ44" s="9"/>
      <c r="AT44" s="74"/>
      <c r="AU44" s="74"/>
      <c r="AV44" s="74"/>
      <c r="AW44" s="74"/>
      <c r="AX44" s="74"/>
      <c r="AY44" s="74"/>
      <c r="AZ44" s="74"/>
      <c r="BA44" s="74"/>
      <c r="BB44" s="74"/>
      <c r="BC44" s="70"/>
      <c r="BE44" s="9"/>
      <c r="BF44" s="74"/>
      <c r="BG44" s="74"/>
      <c r="BH44" s="74"/>
      <c r="BI44" s="74"/>
      <c r="BJ44" s="74"/>
      <c r="BK44" s="74"/>
      <c r="BL44" s="74"/>
      <c r="BM44" s="74"/>
      <c r="BN44" s="74"/>
      <c r="BO44" s="70"/>
      <c r="BQ44" s="9"/>
      <c r="BR44" s="74"/>
      <c r="BS44" s="74"/>
      <c r="BT44" s="74"/>
      <c r="BU44" s="74"/>
      <c r="BV44" s="74"/>
      <c r="BW44" s="74"/>
      <c r="BX44" s="74"/>
      <c r="BY44" s="74"/>
      <c r="BZ44" s="74"/>
      <c r="CA44" s="70"/>
      <c r="CC44" s="9"/>
      <c r="CD44" s="74"/>
      <c r="CE44" s="74"/>
      <c r="CF44" s="74"/>
      <c r="CG44" s="74"/>
      <c r="CH44" s="74"/>
      <c r="CI44" s="74"/>
      <c r="CJ44" s="74"/>
      <c r="CK44" s="74"/>
      <c r="CL44" s="74"/>
      <c r="CM44" s="70"/>
      <c r="CO44" s="9"/>
      <c r="CP44" s="74"/>
      <c r="CQ44" s="74"/>
      <c r="CR44" s="74"/>
      <c r="CS44" s="74"/>
      <c r="CT44" s="74"/>
      <c r="CU44" s="74"/>
      <c r="CV44" s="74"/>
      <c r="CW44" s="74"/>
      <c r="CX44" s="74"/>
      <c r="CY44" s="70"/>
    </row>
    <row r="45" spans="1:103" ht="15" x14ac:dyDescent="0.35">
      <c r="A45" s="11"/>
      <c r="H45" s="34" t="s">
        <v>65</v>
      </c>
      <c r="I45" s="109">
        <f>AJ30</f>
        <v>1.2377993279123796</v>
      </c>
      <c r="V45" s="74"/>
      <c r="W45" s="17"/>
      <c r="Y45" s="8">
        <v>13.9</v>
      </c>
      <c r="Z45" s="75">
        <f t="shared" si="0"/>
        <v>23.969077296518979</v>
      </c>
      <c r="AB45" s="7"/>
      <c r="AE45" s="17"/>
      <c r="AF45" s="74"/>
      <c r="AG45" s="17"/>
      <c r="AH45" s="8"/>
      <c r="AI45" s="21"/>
      <c r="AJ45" s="21"/>
      <c r="AK45" s="21"/>
      <c r="AL45" s="7"/>
      <c r="AP45" s="81"/>
      <c r="AQ45" s="9"/>
      <c r="AT45" s="74"/>
      <c r="AU45" s="74"/>
      <c r="AV45" s="74"/>
      <c r="AW45" s="74"/>
      <c r="AX45" s="74"/>
      <c r="AY45" s="74"/>
      <c r="AZ45" s="74"/>
      <c r="BA45" s="74"/>
      <c r="BB45" s="74"/>
      <c r="BC45" s="70"/>
      <c r="BE45" s="9"/>
      <c r="BF45" s="74"/>
      <c r="BG45" s="74"/>
      <c r="BH45" s="74"/>
      <c r="BI45" s="74"/>
      <c r="BJ45" s="74"/>
      <c r="BK45" s="74"/>
      <c r="BL45" s="74"/>
      <c r="BM45" s="74"/>
      <c r="BN45" s="74"/>
      <c r="BO45" s="70"/>
      <c r="BQ45" s="9"/>
      <c r="BR45" s="74"/>
      <c r="BS45" s="74"/>
      <c r="BT45" s="74"/>
      <c r="BU45" s="74"/>
      <c r="BV45" s="74"/>
      <c r="BW45" s="74"/>
      <c r="BX45" s="74"/>
      <c r="BY45" s="74"/>
      <c r="BZ45" s="74"/>
      <c r="CA45" s="70"/>
      <c r="CC45" s="9"/>
      <c r="CD45" s="74"/>
      <c r="CE45" s="74"/>
      <c r="CF45" s="74"/>
      <c r="CG45" s="74"/>
      <c r="CH45" s="74"/>
      <c r="CI45" s="74"/>
      <c r="CJ45" s="74"/>
      <c r="CK45" s="74"/>
      <c r="CL45" s="74"/>
      <c r="CM45" s="70"/>
      <c r="CO45" s="9"/>
      <c r="CP45" s="74"/>
      <c r="CQ45" s="74"/>
      <c r="CR45" s="74"/>
      <c r="CS45" s="74"/>
      <c r="CT45" s="74"/>
      <c r="CU45" s="74"/>
      <c r="CV45" s="74"/>
      <c r="CW45" s="74"/>
      <c r="CX45" s="74"/>
      <c r="CY45" s="70"/>
    </row>
    <row r="46" spans="1:103" x14ac:dyDescent="0.3">
      <c r="A46" s="11"/>
      <c r="G46" s="11"/>
      <c r="H46" s="11"/>
      <c r="I46" s="11"/>
      <c r="J46" s="11"/>
      <c r="K46" s="11"/>
      <c r="V46" s="74"/>
      <c r="W46" s="17"/>
      <c r="Y46" s="8">
        <v>14.6</v>
      </c>
      <c r="Z46" s="75">
        <f t="shared" si="0"/>
        <v>23.956213224614864</v>
      </c>
      <c r="AB46" s="7"/>
      <c r="AE46" s="17"/>
      <c r="AF46" s="74"/>
      <c r="AG46" s="17"/>
      <c r="AH46" s="8"/>
      <c r="AI46" s="21"/>
      <c r="AJ46" s="4"/>
      <c r="AK46" s="21"/>
      <c r="AL46" s="7"/>
      <c r="AP46" s="81"/>
      <c r="AQ46" s="9"/>
      <c r="AT46" s="74"/>
      <c r="AU46" s="74"/>
      <c r="AV46" s="74"/>
      <c r="AW46" s="74"/>
      <c r="AX46" s="74"/>
      <c r="AY46" s="74"/>
      <c r="AZ46" s="74"/>
      <c r="BA46" s="74"/>
      <c r="BB46" s="74"/>
      <c r="BC46" s="70"/>
      <c r="BE46" s="9"/>
      <c r="BF46" s="74"/>
      <c r="BG46" s="74"/>
      <c r="BH46" s="74"/>
      <c r="BI46" s="74"/>
      <c r="BJ46" s="74"/>
      <c r="BK46" s="74"/>
      <c r="BL46" s="74"/>
      <c r="BM46" s="74"/>
      <c r="BN46" s="74"/>
      <c r="BO46" s="70"/>
      <c r="BQ46" s="9"/>
      <c r="BR46" s="74"/>
      <c r="BS46" s="74"/>
      <c r="BT46" s="74"/>
      <c r="BU46" s="74"/>
      <c r="BV46" s="74"/>
      <c r="BW46" s="74"/>
      <c r="BX46" s="74"/>
      <c r="BY46" s="74"/>
      <c r="BZ46" s="74"/>
      <c r="CA46" s="70"/>
      <c r="CC46" s="9"/>
      <c r="CD46" s="74"/>
      <c r="CE46" s="74"/>
      <c r="CF46" s="74"/>
      <c r="CG46" s="74"/>
      <c r="CH46" s="74"/>
      <c r="CI46" s="74"/>
      <c r="CJ46" s="74"/>
      <c r="CK46" s="74"/>
      <c r="CL46" s="74"/>
      <c r="CM46" s="70"/>
      <c r="CO46" s="9"/>
      <c r="CP46" s="74"/>
      <c r="CQ46" s="74"/>
      <c r="CR46" s="74"/>
      <c r="CS46" s="74"/>
      <c r="CT46" s="74"/>
      <c r="CU46" s="74"/>
      <c r="CV46" s="74"/>
      <c r="CW46" s="74"/>
      <c r="CX46" s="74"/>
      <c r="CY46" s="70"/>
    </row>
    <row r="47" spans="1:103" x14ac:dyDescent="0.3">
      <c r="H47" s="34" t="s">
        <v>67</v>
      </c>
      <c r="I47" s="71" t="str">
        <f>[1]!xln(I48)</f>
        <v>1.24 × 24</v>
      </c>
      <c r="V47" s="74"/>
      <c r="W47" s="17"/>
      <c r="Y47" s="8">
        <v>15.3</v>
      </c>
      <c r="Z47" s="75">
        <f t="shared" si="0"/>
        <v>23.94180557893911</v>
      </c>
      <c r="AB47" s="9"/>
      <c r="AE47" s="17"/>
      <c r="AF47" s="74"/>
      <c r="AG47" s="17"/>
      <c r="AH47" s="30"/>
      <c r="AI47" s="21"/>
      <c r="AJ47" s="4"/>
      <c r="AK47" s="21"/>
      <c r="AL47" s="7"/>
      <c r="AP47" s="81"/>
      <c r="AQ47" s="9"/>
      <c r="AT47" s="74"/>
      <c r="AU47" s="74"/>
      <c r="AV47" s="74"/>
      <c r="AW47" s="74"/>
      <c r="AX47" s="74"/>
      <c r="AY47" s="74"/>
      <c r="AZ47" s="74"/>
      <c r="BA47" s="74"/>
      <c r="BB47" s="74"/>
      <c r="BC47" s="70"/>
      <c r="BE47" s="9"/>
      <c r="BF47" s="74"/>
      <c r="BG47" s="74"/>
      <c r="BH47" s="74"/>
      <c r="BI47" s="74"/>
      <c r="BJ47" s="74"/>
      <c r="BK47" s="74"/>
      <c r="BL47" s="74"/>
      <c r="BM47" s="74"/>
      <c r="BN47" s="74"/>
      <c r="BO47" s="70"/>
      <c r="BQ47" s="9"/>
      <c r="BR47" s="74"/>
      <c r="BS47" s="74"/>
      <c r="BT47" s="74"/>
      <c r="BU47" s="74"/>
      <c r="BV47" s="74"/>
      <c r="BW47" s="74"/>
      <c r="BX47" s="74"/>
      <c r="BY47" s="74"/>
      <c r="BZ47" s="74"/>
      <c r="CA47" s="70"/>
      <c r="CC47" s="9"/>
      <c r="CD47" s="74"/>
      <c r="CE47" s="74"/>
      <c r="CF47" s="74"/>
      <c r="CG47" s="74"/>
      <c r="CH47" s="74"/>
      <c r="CI47" s="74"/>
      <c r="CJ47" s="74"/>
      <c r="CK47" s="74"/>
      <c r="CL47" s="74"/>
      <c r="CM47" s="70"/>
      <c r="CO47" s="9"/>
      <c r="CP47" s="74"/>
      <c r="CQ47" s="74"/>
      <c r="CR47" s="74"/>
      <c r="CS47" s="74"/>
      <c r="CT47" s="74"/>
      <c r="CU47" s="74"/>
      <c r="CV47" s="74"/>
      <c r="CW47" s="74"/>
      <c r="CX47" s="74"/>
      <c r="CY47" s="70"/>
    </row>
    <row r="48" spans="1:103" x14ac:dyDescent="0.3">
      <c r="H48" s="34" t="s">
        <v>67</v>
      </c>
      <c r="I48" s="109">
        <f>I45*I28</f>
        <v>29.707183869897108</v>
      </c>
      <c r="V48" s="74"/>
      <c r="W48" s="17"/>
      <c r="Y48" s="8">
        <v>16</v>
      </c>
      <c r="Z48" s="75">
        <f t="shared" si="0"/>
        <v>23.926171875000001</v>
      </c>
      <c r="AA48" s="4"/>
      <c r="AB48" s="9"/>
      <c r="AE48" s="74"/>
      <c r="AF48" s="74"/>
      <c r="AG48" s="74"/>
      <c r="AH48" s="74"/>
      <c r="AI48" s="74"/>
      <c r="AJ48" s="74"/>
      <c r="AL48" s="96"/>
      <c r="AP48" s="81"/>
      <c r="AQ48" s="9"/>
      <c r="AT48" s="74"/>
      <c r="AU48" s="74"/>
      <c r="AV48" s="74"/>
      <c r="AW48" s="74"/>
      <c r="AX48" s="74"/>
      <c r="AY48" s="74"/>
      <c r="AZ48" s="74"/>
      <c r="BA48" s="74"/>
      <c r="BB48" s="74"/>
      <c r="BC48" s="70"/>
      <c r="BE48" s="9"/>
      <c r="BF48" s="74"/>
      <c r="BG48" s="74"/>
      <c r="BH48" s="74"/>
      <c r="BI48" s="74"/>
      <c r="BJ48" s="74"/>
      <c r="BK48" s="74"/>
      <c r="BL48" s="74"/>
      <c r="BM48" s="74"/>
      <c r="BN48" s="74"/>
      <c r="BO48" s="70"/>
      <c r="BQ48" s="9"/>
      <c r="BR48" s="74"/>
      <c r="BS48" s="74"/>
      <c r="BT48" s="74"/>
      <c r="BU48" s="74"/>
      <c r="BV48" s="74"/>
      <c r="BW48" s="74"/>
      <c r="BX48" s="74"/>
      <c r="BY48" s="74"/>
      <c r="BZ48" s="74"/>
      <c r="CA48" s="70"/>
      <c r="CC48" s="9"/>
      <c r="CD48" s="74"/>
      <c r="CE48" s="74"/>
      <c r="CF48" s="74"/>
      <c r="CG48" s="74"/>
      <c r="CH48" s="74"/>
      <c r="CI48" s="74"/>
      <c r="CJ48" s="74"/>
      <c r="CK48" s="74"/>
      <c r="CL48" s="74"/>
      <c r="CM48" s="70"/>
      <c r="CO48" s="9"/>
      <c r="CP48" s="74"/>
      <c r="CQ48" s="74"/>
      <c r="CR48" s="74"/>
      <c r="CS48" s="74"/>
      <c r="CT48" s="74"/>
      <c r="CU48" s="74"/>
      <c r="CV48" s="74"/>
      <c r="CW48" s="74"/>
      <c r="CX48" s="74"/>
      <c r="CY48" s="70"/>
    </row>
    <row r="49" spans="1:103" x14ac:dyDescent="0.3">
      <c r="V49" s="74"/>
      <c r="W49" s="17"/>
      <c r="Y49" s="8">
        <v>16.7</v>
      </c>
      <c r="Z49" s="75">
        <f t="shared" si="0"/>
        <v>23.909592797623944</v>
      </c>
      <c r="AA49" s="4"/>
      <c r="AB49" s="9"/>
      <c r="AE49" s="74"/>
      <c r="AF49" s="74"/>
      <c r="AG49" s="74"/>
      <c r="AH49" s="74"/>
      <c r="AI49" s="74"/>
      <c r="AJ49" s="74"/>
      <c r="AL49" s="96"/>
      <c r="AP49" s="81"/>
      <c r="AQ49" s="9"/>
      <c r="AT49" s="74"/>
      <c r="AU49" s="74"/>
      <c r="AV49" s="74"/>
      <c r="AW49" s="74"/>
      <c r="AX49" s="74"/>
      <c r="AY49" s="74"/>
      <c r="AZ49" s="74"/>
      <c r="BA49" s="74"/>
      <c r="BB49" s="74"/>
      <c r="BC49" s="70"/>
      <c r="BE49" s="9"/>
      <c r="BF49" s="74"/>
      <c r="BG49" s="74"/>
      <c r="BH49" s="74"/>
      <c r="BI49" s="74"/>
      <c r="BJ49" s="74"/>
      <c r="BK49" s="74"/>
      <c r="BL49" s="74"/>
      <c r="BM49" s="74"/>
      <c r="BN49" s="74"/>
      <c r="BO49" s="70"/>
      <c r="BQ49" s="9"/>
      <c r="BR49" s="74"/>
      <c r="BS49" s="74"/>
      <c r="BT49" s="74"/>
      <c r="BU49" s="74"/>
      <c r="BV49" s="74"/>
      <c r="BW49" s="74"/>
      <c r="BX49" s="74"/>
      <c r="BY49" s="74"/>
      <c r="BZ49" s="74"/>
      <c r="CA49" s="70"/>
      <c r="CC49" s="9"/>
      <c r="CD49" s="74"/>
      <c r="CE49" s="74"/>
      <c r="CF49" s="74"/>
      <c r="CG49" s="74"/>
      <c r="CH49" s="74"/>
      <c r="CI49" s="74"/>
      <c r="CJ49" s="74"/>
      <c r="CK49" s="74"/>
      <c r="CL49" s="74"/>
      <c r="CM49" s="70"/>
      <c r="CO49" s="9"/>
      <c r="CP49" s="74"/>
      <c r="CQ49" s="74"/>
      <c r="CR49" s="74"/>
      <c r="CS49" s="74"/>
      <c r="CT49" s="74"/>
      <c r="CU49" s="74"/>
      <c r="CV49" s="74"/>
      <c r="CW49" s="74"/>
      <c r="CX49" s="74"/>
      <c r="CY49" s="70"/>
    </row>
    <row r="50" spans="1:103" x14ac:dyDescent="0.3">
      <c r="A50" s="11"/>
      <c r="I50" s="11"/>
      <c r="J50" s="11"/>
      <c r="K50" s="11"/>
      <c r="V50" s="74"/>
      <c r="W50" s="17"/>
      <c r="Y50" s="8">
        <v>17.399999999999999</v>
      </c>
      <c r="Z50" s="75">
        <f t="shared" si="0"/>
        <v>23.892309981883152</v>
      </c>
      <c r="AB50" s="31"/>
      <c r="AE50" s="74"/>
      <c r="AF50" s="74"/>
      <c r="AG50" s="74"/>
      <c r="AH50" s="74"/>
      <c r="AI50" s="74"/>
      <c r="AJ50" s="74"/>
      <c r="AL50" s="96"/>
      <c r="AP50" s="81"/>
      <c r="AQ50" s="9"/>
      <c r="AT50" s="74"/>
      <c r="AU50" s="74"/>
      <c r="AV50" s="74"/>
      <c r="AW50" s="74"/>
      <c r="AX50" s="74"/>
      <c r="AY50" s="74"/>
      <c r="AZ50" s="74"/>
      <c r="BA50" s="74"/>
      <c r="BB50" s="74"/>
      <c r="BC50" s="70"/>
      <c r="BE50" s="9"/>
      <c r="BF50" s="74"/>
      <c r="BG50" s="74"/>
      <c r="BH50" s="74"/>
      <c r="BI50" s="74"/>
      <c r="BJ50" s="74"/>
      <c r="BK50" s="74"/>
      <c r="BL50" s="74"/>
      <c r="BM50" s="74"/>
      <c r="BN50" s="74"/>
      <c r="BO50" s="70"/>
      <c r="BQ50" s="9"/>
      <c r="BR50" s="74"/>
      <c r="BS50" s="74"/>
      <c r="BT50" s="74"/>
      <c r="BU50" s="74"/>
      <c r="BV50" s="74"/>
      <c r="BW50" s="74"/>
      <c r="BX50" s="74"/>
      <c r="BY50" s="74"/>
      <c r="BZ50" s="74"/>
      <c r="CA50" s="70"/>
      <c r="CC50" s="9"/>
      <c r="CD50" s="74"/>
      <c r="CE50" s="74"/>
      <c r="CF50" s="74"/>
      <c r="CG50" s="74"/>
      <c r="CH50" s="74"/>
      <c r="CI50" s="74"/>
      <c r="CJ50" s="74"/>
      <c r="CK50" s="74"/>
      <c r="CL50" s="74"/>
      <c r="CM50" s="70"/>
      <c r="CO50" s="9"/>
      <c r="CP50" s="74"/>
      <c r="CQ50" s="74"/>
      <c r="CR50" s="74"/>
      <c r="CS50" s="74"/>
      <c r="CT50" s="74"/>
      <c r="CU50" s="74"/>
      <c r="CV50" s="74"/>
      <c r="CW50" s="74"/>
      <c r="CX50" s="74"/>
      <c r="CY50" s="70"/>
    </row>
    <row r="51" spans="1:103" x14ac:dyDescent="0.3">
      <c r="V51" s="74"/>
      <c r="W51" s="17"/>
      <c r="Y51" s="8">
        <v>18.100000000000001</v>
      </c>
      <c r="Z51" s="75">
        <f t="shared" si="0"/>
        <v>23.874527841941156</v>
      </c>
      <c r="AB51" s="7"/>
      <c r="AE51" s="74"/>
      <c r="AF51" s="74"/>
      <c r="AG51" s="74"/>
      <c r="AH51" s="74"/>
      <c r="AI51" s="74"/>
      <c r="AJ51" s="74"/>
      <c r="AL51" s="96"/>
      <c r="AP51" s="81"/>
      <c r="AQ51" s="9"/>
      <c r="AT51" s="74"/>
      <c r="AU51" s="74"/>
      <c r="AV51" s="74"/>
      <c r="AW51" s="74"/>
      <c r="AX51" s="74"/>
      <c r="AY51" s="74"/>
      <c r="AZ51" s="74"/>
      <c r="BA51" s="74"/>
      <c r="BB51" s="74"/>
      <c r="BC51" s="70"/>
      <c r="BE51" s="9"/>
      <c r="BF51" s="74"/>
      <c r="BG51" s="74"/>
      <c r="BH51" s="74"/>
      <c r="BI51" s="74"/>
      <c r="BJ51" s="74"/>
      <c r="BK51" s="74"/>
      <c r="BL51" s="74"/>
      <c r="BM51" s="74"/>
      <c r="BN51" s="74"/>
      <c r="BO51" s="70"/>
      <c r="BQ51" s="9"/>
      <c r="BR51" s="74"/>
      <c r="BS51" s="74"/>
      <c r="BT51" s="74"/>
      <c r="BU51" s="74"/>
      <c r="BV51" s="74"/>
      <c r="BW51" s="74"/>
      <c r="BX51" s="74"/>
      <c r="BY51" s="74"/>
      <c r="BZ51" s="74"/>
      <c r="CA51" s="70"/>
      <c r="CC51" s="9"/>
      <c r="CD51" s="74"/>
      <c r="CE51" s="74"/>
      <c r="CF51" s="74"/>
      <c r="CG51" s="74"/>
      <c r="CH51" s="74"/>
      <c r="CI51" s="74"/>
      <c r="CJ51" s="74"/>
      <c r="CK51" s="74"/>
      <c r="CL51" s="74"/>
      <c r="CM51" s="70"/>
      <c r="CO51" s="9"/>
      <c r="CP51" s="74"/>
      <c r="CQ51" s="74"/>
      <c r="CR51" s="74"/>
      <c r="CS51" s="74"/>
      <c r="CT51" s="74"/>
      <c r="CU51" s="74"/>
      <c r="CV51" s="74"/>
      <c r="CW51" s="74"/>
      <c r="CX51" s="74"/>
      <c r="CY51" s="70"/>
    </row>
    <row r="52" spans="1:103" x14ac:dyDescent="0.3">
      <c r="A52" s="11"/>
      <c r="V52" s="74"/>
      <c r="W52" s="17"/>
      <c r="Y52" s="8">
        <v>18.8</v>
      </c>
      <c r="Z52" s="75">
        <f t="shared" si="0"/>
        <v>23.856417171532321</v>
      </c>
      <c r="AB52" s="7"/>
      <c r="AF52" s="74"/>
      <c r="AG52" s="74"/>
      <c r="AH52" s="74"/>
      <c r="AI52" s="74"/>
      <c r="AJ52" s="74"/>
      <c r="AK52" s="74"/>
      <c r="AL52" s="74"/>
      <c r="AM52" s="74"/>
      <c r="AO52" s="96"/>
      <c r="AP52" s="81"/>
      <c r="AQ52" s="9"/>
      <c r="AT52" s="74"/>
      <c r="AU52" s="74"/>
      <c r="AV52" s="74"/>
      <c r="AW52" s="74"/>
      <c r="AX52" s="74"/>
      <c r="AY52" s="74"/>
      <c r="AZ52" s="74"/>
      <c r="BA52" s="74"/>
      <c r="BB52" s="74"/>
      <c r="BC52" s="70"/>
      <c r="BE52" s="9"/>
      <c r="BF52" s="74"/>
      <c r="BG52" s="74"/>
      <c r="BH52" s="74"/>
      <c r="BI52" s="74"/>
      <c r="BJ52" s="74"/>
      <c r="BK52" s="74"/>
      <c r="BL52" s="74"/>
      <c r="BM52" s="74"/>
      <c r="BN52" s="74"/>
      <c r="BO52" s="70"/>
      <c r="BQ52" s="9"/>
      <c r="BR52" s="74"/>
      <c r="BS52" s="74"/>
      <c r="BT52" s="74"/>
      <c r="BU52" s="74"/>
      <c r="BV52" s="74"/>
      <c r="BW52" s="74"/>
      <c r="BX52" s="74"/>
      <c r="BY52" s="74"/>
      <c r="BZ52" s="74"/>
      <c r="CA52" s="70"/>
      <c r="CC52" s="9"/>
      <c r="CD52" s="74"/>
      <c r="CE52" s="74"/>
      <c r="CF52" s="74"/>
      <c r="CG52" s="74"/>
      <c r="CH52" s="74"/>
      <c r="CI52" s="74"/>
      <c r="CJ52" s="74"/>
      <c r="CK52" s="74"/>
      <c r="CL52" s="74"/>
      <c r="CM52" s="70"/>
      <c r="CO52" s="9"/>
      <c r="CP52" s="74"/>
      <c r="CQ52" s="74"/>
      <c r="CR52" s="74"/>
      <c r="CS52" s="74"/>
      <c r="CT52" s="74"/>
      <c r="CU52" s="74"/>
      <c r="CV52" s="74"/>
      <c r="CW52" s="74"/>
      <c r="CX52" s="74"/>
      <c r="CY52" s="70"/>
    </row>
    <row r="53" spans="1:103" x14ac:dyDescent="0.3">
      <c r="B53" s="14"/>
      <c r="C53" s="76"/>
      <c r="D53" s="11"/>
      <c r="E53" s="11"/>
      <c r="F53" s="11"/>
      <c r="G53" s="11"/>
      <c r="V53" s="74"/>
      <c r="W53" s="17"/>
      <c r="Y53" s="8">
        <v>19.5</v>
      </c>
      <c r="Z53" s="75">
        <f t="shared" si="0"/>
        <v>23.838119320959557</v>
      </c>
      <c r="AF53" s="74"/>
      <c r="AG53" s="74"/>
      <c r="AH53" s="74"/>
      <c r="AI53" s="74"/>
      <c r="AJ53" s="74"/>
      <c r="AK53" s="74"/>
      <c r="AL53" s="74"/>
      <c r="AM53" s="74"/>
      <c r="AO53" s="96"/>
      <c r="AP53" s="58"/>
      <c r="AQ53" s="9"/>
      <c r="AT53" s="74"/>
      <c r="AU53" s="74"/>
      <c r="AV53" s="74"/>
      <c r="AW53" s="74"/>
      <c r="AX53" s="74"/>
      <c r="AY53" s="74"/>
      <c r="AZ53" s="74"/>
      <c r="BA53" s="74"/>
      <c r="BB53" s="74"/>
      <c r="BC53" s="70"/>
      <c r="BE53" s="9"/>
      <c r="BF53" s="74"/>
      <c r="BG53" s="74"/>
      <c r="BH53" s="74"/>
      <c r="BI53" s="74"/>
      <c r="BJ53" s="74"/>
      <c r="BK53" s="74"/>
      <c r="BL53" s="74"/>
      <c r="BM53" s="74"/>
      <c r="BN53" s="74"/>
      <c r="BO53" s="70"/>
      <c r="BQ53" s="9"/>
      <c r="BR53" s="74"/>
      <c r="BS53" s="74"/>
      <c r="BT53" s="74"/>
      <c r="BU53" s="74"/>
      <c r="BV53" s="74"/>
      <c r="BW53" s="74"/>
      <c r="BX53" s="74"/>
      <c r="BY53" s="74"/>
      <c r="BZ53" s="74"/>
      <c r="CA53" s="70"/>
      <c r="CC53" s="9"/>
      <c r="CD53" s="74"/>
      <c r="CE53" s="74"/>
      <c r="CF53" s="74"/>
      <c r="CG53" s="74"/>
      <c r="CH53" s="74"/>
      <c r="CI53" s="74"/>
      <c r="CJ53" s="74"/>
      <c r="CK53" s="74"/>
      <c r="CL53" s="74"/>
      <c r="CM53" s="70"/>
      <c r="CO53" s="9"/>
      <c r="CP53" s="74"/>
      <c r="CQ53" s="74"/>
      <c r="CR53" s="74"/>
      <c r="CS53" s="74"/>
      <c r="CT53" s="74"/>
      <c r="CU53" s="74"/>
      <c r="CV53" s="74"/>
      <c r="CW53" s="74"/>
      <c r="CX53" s="74"/>
      <c r="CY53" s="70"/>
    </row>
    <row r="54" spans="1:103" x14ac:dyDescent="0.3">
      <c r="A54" s="11"/>
      <c r="J54" s="34"/>
      <c r="K54" s="25"/>
      <c r="V54" s="74"/>
      <c r="W54" s="75"/>
      <c r="Y54" s="8">
        <v>20.2</v>
      </c>
      <c r="Z54" s="75">
        <f t="shared" si="0"/>
        <v>23.819750344802149</v>
      </c>
      <c r="AF54" s="74"/>
      <c r="AG54" s="74"/>
      <c r="AH54" s="74"/>
      <c r="AI54" s="74"/>
      <c r="AJ54" s="74"/>
      <c r="AK54" s="74"/>
      <c r="AL54" s="74"/>
      <c r="AM54" s="74"/>
      <c r="AO54" s="96"/>
      <c r="AP54" s="2"/>
      <c r="AQ54" s="9"/>
      <c r="AT54" s="74"/>
      <c r="AU54" s="74"/>
      <c r="AV54" s="74"/>
      <c r="AW54" s="74"/>
      <c r="AX54" s="74"/>
      <c r="AY54" s="74"/>
      <c r="AZ54" s="74"/>
      <c r="BA54" s="74"/>
      <c r="BB54" s="74"/>
      <c r="BC54" s="70"/>
      <c r="BE54" s="9"/>
      <c r="BF54" s="74"/>
      <c r="BG54" s="74"/>
      <c r="BH54" s="74"/>
      <c r="BI54" s="74"/>
      <c r="BJ54" s="74"/>
      <c r="BK54" s="74"/>
      <c r="BL54" s="74"/>
      <c r="BM54" s="74"/>
      <c r="BN54" s="74"/>
      <c r="BO54" s="70"/>
      <c r="BQ54" s="9"/>
      <c r="BR54" s="74"/>
      <c r="BS54" s="74"/>
      <c r="BT54" s="74"/>
      <c r="BU54" s="74"/>
      <c r="BV54" s="74"/>
      <c r="BW54" s="74"/>
      <c r="BX54" s="74"/>
      <c r="BY54" s="74"/>
      <c r="BZ54" s="74"/>
      <c r="CA54" s="70"/>
      <c r="CC54" s="9"/>
      <c r="CD54" s="74"/>
      <c r="CE54" s="74"/>
      <c r="CF54" s="74"/>
      <c r="CG54" s="74"/>
      <c r="CH54" s="74"/>
      <c r="CI54" s="74"/>
      <c r="CJ54" s="74"/>
      <c r="CK54" s="74"/>
      <c r="CL54" s="74"/>
      <c r="CM54" s="70"/>
      <c r="CO54" s="9"/>
      <c r="CP54" s="74"/>
      <c r="CQ54" s="74"/>
      <c r="CR54" s="74"/>
      <c r="CS54" s="74"/>
      <c r="CT54" s="74"/>
      <c r="CU54" s="74"/>
      <c r="CV54" s="74"/>
      <c r="CW54" s="74"/>
      <c r="CX54" s="74"/>
      <c r="CY54" s="70"/>
    </row>
    <row r="55" spans="1:103" ht="15" x14ac:dyDescent="0.35">
      <c r="B55" s="14" t="s">
        <v>59</v>
      </c>
      <c r="C55" s="71" t="str">
        <f ca="1">[1]!xlv(C57)</f>
        <v>k × (π²) × E × ((t / b)²) / (12 × (1 - νₑ²))</v>
      </c>
      <c r="J55" s="71"/>
      <c r="K55" s="71"/>
      <c r="V55" s="74"/>
      <c r="W55" s="4"/>
      <c r="Y55" s="8">
        <v>20.9</v>
      </c>
      <c r="Z55" s="75">
        <f t="shared" si="0"/>
        <v>23.80140483490079</v>
      </c>
      <c r="AF55" s="74"/>
      <c r="AG55" s="74"/>
      <c r="AH55" s="74"/>
      <c r="AI55" s="74"/>
      <c r="AJ55" s="74"/>
      <c r="AK55" s="74"/>
      <c r="AL55" s="74"/>
      <c r="AM55" s="74"/>
      <c r="AO55" s="96"/>
      <c r="AP55" s="2"/>
      <c r="AQ55" s="9"/>
      <c r="AT55" s="74"/>
      <c r="AU55" s="74"/>
      <c r="AV55" s="74"/>
      <c r="AW55" s="74"/>
      <c r="AX55" s="74"/>
      <c r="AY55" s="74"/>
      <c r="AZ55" s="74"/>
      <c r="BA55" s="74"/>
      <c r="BB55" s="74"/>
      <c r="BC55" s="70"/>
      <c r="BE55" s="9"/>
      <c r="BF55" s="74"/>
      <c r="BG55" s="74"/>
      <c r="BH55" s="74"/>
      <c r="BI55" s="74"/>
      <c r="BJ55" s="74"/>
      <c r="BK55" s="74"/>
      <c r="BL55" s="74"/>
      <c r="BM55" s="74"/>
      <c r="BN55" s="74"/>
      <c r="BO55" s="70"/>
      <c r="BQ55" s="9"/>
      <c r="BR55" s="74"/>
      <c r="BS55" s="74"/>
      <c r="BT55" s="74"/>
      <c r="BU55" s="74"/>
      <c r="BV55" s="74"/>
      <c r="BW55" s="74"/>
      <c r="BX55" s="74"/>
      <c r="BY55" s="74"/>
      <c r="BZ55" s="74"/>
      <c r="CA55" s="70"/>
      <c r="CC55" s="9"/>
      <c r="CD55" s="74"/>
      <c r="CE55" s="74"/>
      <c r="CF55" s="74"/>
      <c r="CG55" s="74"/>
      <c r="CH55" s="74"/>
      <c r="CI55" s="74"/>
      <c r="CJ55" s="74"/>
      <c r="CK55" s="74"/>
      <c r="CL55" s="74"/>
      <c r="CM55" s="70"/>
      <c r="CO55" s="9"/>
      <c r="CP55" s="74"/>
      <c r="CQ55" s="74"/>
      <c r="CR55" s="74"/>
      <c r="CS55" s="74"/>
      <c r="CT55" s="74"/>
      <c r="CU55" s="74"/>
      <c r="CV55" s="74"/>
      <c r="CW55" s="74"/>
      <c r="CX55" s="74"/>
      <c r="CY55" s="70"/>
    </row>
    <row r="56" spans="1:103" x14ac:dyDescent="0.3">
      <c r="B56" s="34" t="s">
        <v>5</v>
      </c>
      <c r="C56" s="71" t="str">
        <f>[1]!xln(C57)</f>
        <v>29.7 × (π²) × (1.6E+07) × ((0.08 / 4)²) / (12 × (1 - 0.31²))</v>
      </c>
      <c r="D56" s="71"/>
      <c r="E56" s="11"/>
      <c r="I56" s="71"/>
      <c r="J56" s="71"/>
      <c r="K56" s="71"/>
      <c r="V56" s="74"/>
      <c r="W56" s="4"/>
      <c r="Y56" s="8">
        <v>21.6</v>
      </c>
      <c r="Z56" s="75">
        <f t="shared" si="0"/>
        <v>23.783159325306102</v>
      </c>
      <c r="AF56" s="74"/>
      <c r="AG56" s="74"/>
      <c r="AH56" s="74"/>
      <c r="AI56" s="74"/>
      <c r="AJ56" s="74"/>
      <c r="AK56" s="74"/>
      <c r="AL56" s="74"/>
      <c r="AM56" s="74"/>
      <c r="AO56" s="96"/>
      <c r="AP56" s="2"/>
      <c r="AQ56" s="9"/>
      <c r="AT56" s="74"/>
      <c r="AU56" s="74"/>
      <c r="AV56" s="74"/>
      <c r="AW56" s="74"/>
      <c r="AX56" s="74"/>
      <c r="AY56" s="74"/>
      <c r="AZ56" s="74"/>
      <c r="BA56" s="74"/>
      <c r="BB56" s="74"/>
      <c r="BC56" s="70"/>
      <c r="BE56" s="9"/>
      <c r="BF56" s="74"/>
      <c r="BG56" s="74"/>
      <c r="BH56" s="74"/>
      <c r="BI56" s="74"/>
      <c r="BJ56" s="74"/>
      <c r="BK56" s="74"/>
      <c r="BL56" s="74"/>
      <c r="BM56" s="74"/>
      <c r="BN56" s="74"/>
      <c r="BO56" s="70"/>
      <c r="BQ56" s="9"/>
      <c r="BR56" s="74"/>
      <c r="BS56" s="74"/>
      <c r="BT56" s="74"/>
      <c r="BU56" s="74"/>
      <c r="BV56" s="74"/>
      <c r="BW56" s="74"/>
      <c r="BX56" s="74"/>
      <c r="BY56" s="74"/>
      <c r="BZ56" s="74"/>
      <c r="CA56" s="70"/>
      <c r="CC56" s="9"/>
      <c r="CD56" s="74"/>
      <c r="CE56" s="74"/>
      <c r="CF56" s="74"/>
      <c r="CG56" s="74"/>
      <c r="CH56" s="74"/>
      <c r="CI56" s="74"/>
      <c r="CJ56" s="74"/>
      <c r="CK56" s="74"/>
      <c r="CL56" s="74"/>
      <c r="CM56" s="70"/>
      <c r="CO56" s="9"/>
      <c r="CP56" s="74"/>
      <c r="CQ56" s="74"/>
      <c r="CR56" s="74"/>
      <c r="CS56" s="74"/>
      <c r="CT56" s="74"/>
      <c r="CU56" s="74"/>
      <c r="CV56" s="74"/>
      <c r="CW56" s="74"/>
      <c r="CX56" s="74"/>
      <c r="CY56" s="70"/>
    </row>
    <row r="57" spans="1:103" ht="15" x14ac:dyDescent="0.35">
      <c r="B57" s="14" t="s">
        <v>59</v>
      </c>
      <c r="C57" s="76">
        <f xml:space="preserve"> I48*(PI()^2)*C24*((G18/G17)^2)/(12*(1-C25^2))</f>
        <v>172997.39804037751</v>
      </c>
      <c r="D57" s="11" t="s">
        <v>57</v>
      </c>
      <c r="E57" s="11"/>
      <c r="F57" s="11"/>
      <c r="V57" s="74"/>
      <c r="Y57" s="8">
        <v>22.3</v>
      </c>
      <c r="Z57" s="75">
        <f t="shared" si="0"/>
        <v>23.765075245949639</v>
      </c>
      <c r="AF57" s="74"/>
      <c r="AG57" s="74"/>
      <c r="AH57" s="74"/>
      <c r="AI57" s="74"/>
      <c r="AJ57" s="74"/>
      <c r="AK57" s="74"/>
      <c r="AL57" s="74"/>
      <c r="AM57" s="74"/>
      <c r="AO57" s="96"/>
      <c r="AP57" s="2"/>
      <c r="AQ57" s="9"/>
      <c r="AT57" s="74"/>
      <c r="AU57" s="74"/>
      <c r="AV57" s="74"/>
      <c r="AW57" s="74"/>
      <c r="AX57" s="74"/>
      <c r="AY57" s="74"/>
      <c r="AZ57" s="74"/>
      <c r="BA57" s="74"/>
      <c r="BB57" s="74"/>
      <c r="BC57" s="70"/>
      <c r="BE57" s="9"/>
      <c r="BF57" s="74"/>
      <c r="BG57" s="74"/>
      <c r="BH57" s="74"/>
      <c r="BI57" s="74"/>
      <c r="BJ57" s="74"/>
      <c r="BK57" s="74"/>
      <c r="BL57" s="74"/>
      <c r="BM57" s="74"/>
      <c r="BN57" s="74"/>
      <c r="BO57" s="70"/>
      <c r="BQ57" s="9"/>
      <c r="BR57" s="74"/>
      <c r="BS57" s="74"/>
      <c r="BT57" s="74"/>
      <c r="BU57" s="74"/>
      <c r="BV57" s="74"/>
      <c r="BW57" s="74"/>
      <c r="BX57" s="74"/>
      <c r="BY57" s="74"/>
      <c r="BZ57" s="74"/>
      <c r="CA57" s="70"/>
      <c r="CC57" s="9"/>
      <c r="CD57" s="74"/>
      <c r="CE57" s="74"/>
      <c r="CF57" s="74"/>
      <c r="CG57" s="74"/>
      <c r="CH57" s="74"/>
      <c r="CI57" s="74"/>
      <c r="CJ57" s="74"/>
      <c r="CK57" s="74"/>
      <c r="CL57" s="74"/>
      <c r="CM57" s="70"/>
      <c r="CO57" s="9"/>
      <c r="CP57" s="74"/>
      <c r="CQ57" s="74"/>
      <c r="CR57" s="74"/>
      <c r="CS57" s="74"/>
      <c r="CT57" s="74"/>
      <c r="CU57" s="74"/>
      <c r="CV57" s="74"/>
      <c r="CW57" s="74"/>
      <c r="CX57" s="74"/>
      <c r="CY57" s="70"/>
    </row>
    <row r="58" spans="1:103" x14ac:dyDescent="0.3">
      <c r="A58" s="11"/>
      <c r="F58" s="11"/>
      <c r="J58" s="34" t="str">
        <f>"M.S. = "&amp;[1]!xln(K58)&amp;" ="</f>
        <v>M.S. = 172997 / 3500 - 1 =</v>
      </c>
      <c r="K58" s="25">
        <f>C57/G19-1</f>
        <v>48.427828011536427</v>
      </c>
      <c r="V58" s="75"/>
      <c r="Y58" s="8">
        <v>23</v>
      </c>
      <c r="Z58" s="75">
        <f t="shared" si="0"/>
        <v>23.747201446535712</v>
      </c>
      <c r="AF58" s="74"/>
      <c r="AG58" s="74"/>
      <c r="AH58" s="74"/>
      <c r="AI58" s="74"/>
      <c r="AJ58" s="74"/>
      <c r="AK58" s="74"/>
      <c r="AL58" s="74"/>
      <c r="AM58" s="74"/>
      <c r="AO58" s="96"/>
      <c r="AP58" s="2"/>
      <c r="AQ58" s="9"/>
      <c r="AT58" s="74"/>
      <c r="AU58" s="74"/>
      <c r="AV58" s="74"/>
      <c r="AW58" s="74"/>
      <c r="AX58" s="74"/>
      <c r="AY58" s="74"/>
      <c r="AZ58" s="74"/>
      <c r="BA58" s="74"/>
      <c r="BB58" s="74"/>
      <c r="BC58" s="70"/>
      <c r="BE58" s="9"/>
      <c r="BF58" s="74"/>
      <c r="BG58" s="74"/>
      <c r="BH58" s="74"/>
      <c r="BI58" s="74"/>
      <c r="BJ58" s="74"/>
      <c r="BK58" s="74"/>
      <c r="BL58" s="74"/>
      <c r="BM58" s="74"/>
      <c r="BN58" s="74"/>
      <c r="BO58" s="70"/>
      <c r="BQ58" s="9"/>
      <c r="BR58" s="74"/>
      <c r="BS58" s="74"/>
      <c r="BT58" s="74"/>
      <c r="BU58" s="74"/>
      <c r="BV58" s="74"/>
      <c r="BW58" s="74"/>
      <c r="BX58" s="74"/>
      <c r="BY58" s="74"/>
      <c r="BZ58" s="74"/>
      <c r="CA58" s="70"/>
      <c r="CC58" s="9"/>
      <c r="CD58" s="74"/>
      <c r="CE58" s="74"/>
      <c r="CF58" s="74"/>
      <c r="CG58" s="74"/>
      <c r="CH58" s="74"/>
      <c r="CI58" s="74"/>
      <c r="CJ58" s="74"/>
      <c r="CK58" s="74"/>
      <c r="CL58" s="74"/>
      <c r="CM58" s="70"/>
      <c r="CO58" s="9"/>
      <c r="CP58" s="74"/>
      <c r="CQ58" s="74"/>
      <c r="CR58" s="74"/>
      <c r="CS58" s="74"/>
      <c r="CT58" s="74"/>
      <c r="CU58" s="74"/>
      <c r="CV58" s="74"/>
      <c r="CW58" s="74"/>
      <c r="CX58" s="74"/>
      <c r="CY58" s="70"/>
    </row>
    <row r="59" spans="1:103" s="4" customFormat="1" x14ac:dyDescent="0.3">
      <c r="A59" s="32"/>
      <c r="B59" s="3"/>
      <c r="C59" s="37"/>
      <c r="D59" s="33"/>
      <c r="E59" s="33"/>
      <c r="F59" s="38" t="s">
        <v>43</v>
      </c>
      <c r="G59" s="37"/>
      <c r="H59" s="33"/>
      <c r="I59" s="33"/>
      <c r="J59" s="33"/>
      <c r="K59" s="32"/>
      <c r="M59" s="12"/>
      <c r="N59" s="12"/>
      <c r="O59" s="12"/>
      <c r="P59" s="35"/>
      <c r="Q59" s="12"/>
      <c r="R59" s="12"/>
      <c r="S59" s="12"/>
      <c r="T59" s="12"/>
      <c r="W59" s="2"/>
      <c r="X59" s="2"/>
      <c r="Y59" s="8"/>
      <c r="Z59" s="70"/>
      <c r="AA59" s="2"/>
      <c r="AF59" s="74"/>
      <c r="AG59" s="74"/>
      <c r="AH59" s="74"/>
      <c r="AI59" s="74"/>
      <c r="AJ59" s="74"/>
      <c r="AK59" s="74"/>
      <c r="AL59" s="74"/>
      <c r="AM59" s="74"/>
      <c r="AO59" s="96"/>
      <c r="AQ59" s="9"/>
      <c r="AT59" s="74"/>
      <c r="AU59" s="74"/>
      <c r="AV59" s="74"/>
      <c r="AW59" s="74"/>
      <c r="AX59" s="74"/>
      <c r="AY59" s="74"/>
      <c r="AZ59" s="74"/>
      <c r="BA59" s="74"/>
      <c r="BB59" s="74"/>
      <c r="BC59" s="70"/>
      <c r="BE59" s="9"/>
      <c r="BF59" s="74"/>
      <c r="BG59" s="74"/>
      <c r="BH59" s="74"/>
      <c r="BI59" s="74"/>
      <c r="BJ59" s="74"/>
      <c r="BK59" s="74"/>
      <c r="BL59" s="74"/>
      <c r="BM59" s="74"/>
      <c r="BN59" s="74"/>
      <c r="BO59" s="70"/>
      <c r="BQ59" s="9"/>
      <c r="BR59" s="74"/>
      <c r="BS59" s="74"/>
      <c r="BT59" s="74"/>
      <c r="BU59" s="74"/>
      <c r="BV59" s="74"/>
      <c r="BW59" s="74"/>
      <c r="BX59" s="74"/>
      <c r="BY59" s="74"/>
      <c r="BZ59" s="74"/>
      <c r="CA59" s="70"/>
      <c r="CC59" s="9"/>
      <c r="CD59" s="74"/>
      <c r="CE59" s="74"/>
      <c r="CF59" s="74"/>
      <c r="CG59" s="74"/>
      <c r="CH59" s="74"/>
      <c r="CI59" s="74"/>
      <c r="CJ59" s="74"/>
      <c r="CK59" s="74"/>
      <c r="CL59" s="74"/>
      <c r="CM59" s="70"/>
      <c r="CO59" s="9"/>
      <c r="CP59" s="74"/>
      <c r="CQ59" s="74"/>
      <c r="CR59" s="74"/>
      <c r="CS59" s="74"/>
      <c r="CT59" s="74"/>
      <c r="CU59" s="74"/>
      <c r="CV59" s="74"/>
      <c r="CW59" s="74"/>
      <c r="CX59" s="74"/>
      <c r="CY59" s="70"/>
    </row>
    <row r="60" spans="1:103" s="4" customFormat="1" x14ac:dyDescent="0.3">
      <c r="A60" s="32"/>
      <c r="B60" s="33"/>
      <c r="C60" s="33"/>
      <c r="D60" s="33"/>
      <c r="E60" s="33"/>
      <c r="F60" s="69" t="s">
        <v>68</v>
      </c>
      <c r="G60" s="33"/>
      <c r="H60" s="33"/>
      <c r="I60" s="33"/>
      <c r="J60" s="33"/>
      <c r="K60" s="32"/>
      <c r="M60" s="12"/>
      <c r="N60" s="12"/>
      <c r="O60" s="12"/>
      <c r="P60" s="35"/>
      <c r="Q60" s="12"/>
      <c r="R60" s="12"/>
      <c r="S60" s="12"/>
      <c r="T60" s="12"/>
      <c r="W60" s="2"/>
      <c r="X60" s="2"/>
      <c r="AF60" s="74"/>
      <c r="AG60" s="74"/>
      <c r="AH60" s="74"/>
      <c r="AI60" s="74"/>
      <c r="AJ60" s="74"/>
      <c r="AK60" s="74"/>
      <c r="AL60" s="74"/>
      <c r="AM60" s="74"/>
      <c r="AO60" s="96"/>
      <c r="AQ60" s="9"/>
      <c r="AT60" s="74"/>
      <c r="AU60" s="74"/>
      <c r="AV60" s="74"/>
      <c r="AW60" s="74"/>
      <c r="AX60" s="74"/>
      <c r="AY60" s="74"/>
      <c r="AZ60" s="74"/>
      <c r="BA60" s="74"/>
      <c r="BB60" s="74"/>
      <c r="BC60" s="70"/>
      <c r="BE60" s="9"/>
      <c r="BF60" s="74"/>
      <c r="BG60" s="74"/>
      <c r="BH60" s="74"/>
      <c r="BI60" s="74"/>
      <c r="BJ60" s="74"/>
      <c r="BK60" s="74"/>
      <c r="BL60" s="74"/>
      <c r="BM60" s="74"/>
      <c r="BN60" s="74"/>
      <c r="BO60" s="70"/>
      <c r="BQ60" s="9"/>
      <c r="BR60" s="74"/>
      <c r="BS60" s="74"/>
      <c r="BT60" s="74"/>
      <c r="BU60" s="74"/>
      <c r="BV60" s="74"/>
      <c r="BW60" s="74"/>
      <c r="BX60" s="74"/>
      <c r="BY60" s="74"/>
      <c r="BZ60" s="74"/>
      <c r="CA60" s="70"/>
      <c r="CC60" s="9"/>
      <c r="CD60" s="74"/>
      <c r="CE60" s="74"/>
      <c r="CF60" s="74"/>
      <c r="CG60" s="74"/>
      <c r="CH60" s="74"/>
      <c r="CI60" s="74"/>
      <c r="CJ60" s="74"/>
      <c r="CK60" s="74"/>
      <c r="CL60" s="74"/>
      <c r="CM60" s="70"/>
      <c r="CO60" s="9"/>
      <c r="CP60" s="74"/>
      <c r="CQ60" s="74"/>
      <c r="CR60" s="74"/>
      <c r="CS60" s="74"/>
      <c r="CT60" s="74"/>
      <c r="CU60" s="74"/>
      <c r="CV60" s="74"/>
      <c r="CW60" s="74"/>
      <c r="CX60" s="74"/>
      <c r="CY60" s="70"/>
    </row>
    <row r="61" spans="1:103" s="4" customFormat="1" x14ac:dyDescent="0.3">
      <c r="A61" s="52"/>
      <c r="B61" s="43"/>
      <c r="C61" s="43"/>
      <c r="D61" s="43"/>
      <c r="E61" s="53" t="s">
        <v>6</v>
      </c>
      <c r="F61" s="54" t="str">
        <f>$C$1</f>
        <v>R. Abbott</v>
      </c>
      <c r="G61" s="43"/>
      <c r="H61" s="55"/>
      <c r="I61" s="53" t="s">
        <v>11</v>
      </c>
      <c r="J61" s="56" t="str">
        <f>$G$2</f>
        <v>AA-SM-007-043</v>
      </c>
      <c r="K61" s="57"/>
      <c r="L61" s="58"/>
      <c r="M61" s="79"/>
      <c r="N61" s="79"/>
      <c r="O61" s="79"/>
      <c r="P61" s="102"/>
      <c r="Q61" s="12"/>
      <c r="R61" s="12"/>
      <c r="S61" s="12"/>
      <c r="T61" s="12"/>
      <c r="AE61" s="2"/>
      <c r="AF61" s="8"/>
      <c r="AG61" s="70"/>
      <c r="AH61" s="74"/>
      <c r="AI61" s="74"/>
      <c r="AJ61" s="74"/>
      <c r="AK61" s="74"/>
    </row>
    <row r="62" spans="1:103" s="5" customFormat="1" x14ac:dyDescent="0.3">
      <c r="A62" s="43"/>
      <c r="B62" s="43"/>
      <c r="C62" s="43"/>
      <c r="D62" s="43"/>
      <c r="E62" s="53" t="s">
        <v>7</v>
      </c>
      <c r="F62" s="55" t="str">
        <f>$C$2</f>
        <v xml:space="preserve"> </v>
      </c>
      <c r="G62" s="43"/>
      <c r="H62" s="55"/>
      <c r="I62" s="53" t="s">
        <v>12</v>
      </c>
      <c r="J62" s="57" t="str">
        <f>$G$3</f>
        <v>IR</v>
      </c>
      <c r="K62" s="57"/>
      <c r="L62" s="58"/>
      <c r="M62" s="79">
        <v>1</v>
      </c>
      <c r="N62" s="79"/>
      <c r="O62" s="79"/>
      <c r="P62" s="102"/>
      <c r="Q62" s="36"/>
      <c r="R62" s="36"/>
      <c r="S62" s="36"/>
      <c r="T62" s="36"/>
      <c r="X62" s="6"/>
      <c r="Y62" s="6"/>
      <c r="Z62" s="6"/>
      <c r="AA62" s="6"/>
      <c r="AB62" s="4"/>
      <c r="AC62" s="4"/>
      <c r="AD62" s="7"/>
      <c r="AE62" s="2"/>
      <c r="AF62" s="8"/>
      <c r="AG62" s="70"/>
      <c r="AH62" s="74"/>
      <c r="AI62" s="74"/>
      <c r="AJ62" s="74"/>
      <c r="AK62" s="74"/>
      <c r="AT62" s="19"/>
      <c r="BF62" s="19"/>
      <c r="BR62" s="19"/>
      <c r="CD62" s="19"/>
      <c r="CP62" s="19"/>
    </row>
    <row r="63" spans="1:103" s="4" customFormat="1" x14ac:dyDescent="0.3">
      <c r="A63" s="43"/>
      <c r="B63" s="43"/>
      <c r="C63" s="43"/>
      <c r="D63" s="43"/>
      <c r="E63" s="53" t="s">
        <v>0</v>
      </c>
      <c r="F63" s="55" t="str">
        <f>$C$3</f>
        <v>20/10/2013</v>
      </c>
      <c r="G63" s="43"/>
      <c r="H63" s="55"/>
      <c r="I63" s="53" t="s">
        <v>13</v>
      </c>
      <c r="J63" s="54" t="str">
        <f>L63&amp;" of "&amp;$G$1</f>
        <v>2 of 2</v>
      </c>
      <c r="K63" s="55"/>
      <c r="L63" s="58">
        <f>SUM($M$1:M62)</f>
        <v>2</v>
      </c>
      <c r="M63" s="79"/>
      <c r="N63" s="79"/>
      <c r="O63" s="79"/>
      <c r="P63" s="102"/>
      <c r="Q63" s="12"/>
      <c r="R63" s="12"/>
      <c r="S63" s="12"/>
      <c r="T63" s="12"/>
      <c r="X63" s="8"/>
      <c r="Y63" s="9"/>
      <c r="Z63" s="9"/>
      <c r="AA63" s="9"/>
      <c r="AB63" s="10"/>
      <c r="AC63" s="10"/>
      <c r="AD63" s="10"/>
      <c r="AE63" s="2"/>
      <c r="AF63" s="8"/>
      <c r="AG63" s="70"/>
      <c r="AH63" s="74"/>
      <c r="AI63" s="74"/>
      <c r="AJ63" s="74"/>
      <c r="AK63" s="74"/>
      <c r="AT63" s="19"/>
      <c r="BF63" s="19"/>
      <c r="BR63" s="19"/>
      <c r="CD63" s="19"/>
      <c r="CP63" s="19"/>
    </row>
    <row r="64" spans="1:103" x14ac:dyDescent="0.3">
      <c r="A64" s="43"/>
      <c r="B64" s="43"/>
      <c r="C64" s="43"/>
      <c r="D64" s="43"/>
      <c r="E64" s="53" t="s">
        <v>26</v>
      </c>
      <c r="F64" s="55" t="str">
        <f>$C$5</f>
        <v>STANDARD SPREADSHEET METHOD</v>
      </c>
      <c r="G64" s="43"/>
      <c r="H64" s="43"/>
      <c r="I64" s="59"/>
      <c r="J64" s="54"/>
      <c r="K64" s="43"/>
      <c r="L64" s="43"/>
      <c r="M64" s="79"/>
      <c r="N64" s="79"/>
      <c r="O64" s="79"/>
      <c r="P64" s="102"/>
      <c r="V64" s="8"/>
      <c r="W64" s="9"/>
      <c r="X64" s="9"/>
      <c r="Y64" s="9"/>
      <c r="Z64" s="10"/>
      <c r="AA64" s="10"/>
      <c r="AB64" s="10"/>
      <c r="AD64" s="8"/>
      <c r="AE64" s="70"/>
      <c r="AF64" s="74"/>
      <c r="AG64" s="74"/>
      <c r="AH64" s="74"/>
      <c r="AI64" s="74"/>
      <c r="AP64" s="2"/>
      <c r="AT64" s="34"/>
      <c r="BF64" s="34"/>
      <c r="BR64" s="34"/>
      <c r="CD64" s="34"/>
      <c r="CP64" s="34"/>
    </row>
    <row r="65" spans="1:93" ht="15.6" x14ac:dyDescent="0.3">
      <c r="B65" s="61" t="str">
        <f>$G$4</f>
        <v>PLASTIC BENDING BUCKLING OF FLAT ISOTROPIC PANELS</v>
      </c>
      <c r="E65" s="11"/>
      <c r="F65" s="11"/>
      <c r="G65" s="11"/>
      <c r="H65" s="11"/>
      <c r="I65" s="11"/>
      <c r="J65" s="11"/>
      <c r="K65" s="11"/>
      <c r="V65" s="8"/>
      <c r="W65" s="9"/>
      <c r="AA65" s="10"/>
      <c r="AB65" s="10"/>
      <c r="AD65" s="8"/>
      <c r="AE65" s="70"/>
      <c r="AF65" s="74"/>
      <c r="AG65" s="74"/>
      <c r="AH65" s="74"/>
      <c r="AI65" s="74"/>
      <c r="AP65" s="2"/>
    </row>
    <row r="66" spans="1:93" ht="13.5" customHeight="1" x14ac:dyDescent="0.3">
      <c r="A66" s="13"/>
      <c r="B66" s="144" t="s">
        <v>113</v>
      </c>
      <c r="C66" s="144"/>
      <c r="D66" s="11"/>
      <c r="E66" s="11"/>
      <c r="F66" s="11"/>
      <c r="G66" s="11"/>
      <c r="H66" s="11"/>
      <c r="I66" s="11"/>
      <c r="J66" s="11"/>
      <c r="K66" s="11"/>
      <c r="Y66" s="8"/>
      <c r="Z66" s="70"/>
      <c r="AA66" s="9"/>
      <c r="AB66" s="100"/>
      <c r="AC66" s="70"/>
      <c r="AD66" s="8"/>
      <c r="AE66" s="70"/>
      <c r="AF66" s="74"/>
      <c r="AG66" s="74"/>
      <c r="AH66" s="74"/>
      <c r="AI66" s="74"/>
      <c r="AP66" s="2"/>
      <c r="AQ66" s="15"/>
      <c r="BE66" s="15"/>
      <c r="BQ66" s="15"/>
      <c r="CC66" s="15"/>
      <c r="CO66" s="15"/>
    </row>
    <row r="67" spans="1:93" x14ac:dyDescent="0.3">
      <c r="A67" s="11"/>
      <c r="B67" s="144" t="s">
        <v>114</v>
      </c>
      <c r="C67" s="144"/>
      <c r="D67" s="144"/>
      <c r="E67" s="101"/>
      <c r="F67" s="101"/>
      <c r="G67" s="101"/>
      <c r="H67" s="101"/>
      <c r="I67" s="101"/>
      <c r="J67" s="101"/>
      <c r="K67" s="11"/>
      <c r="W67" s="70"/>
      <c r="Y67" s="8"/>
      <c r="Z67" s="70"/>
      <c r="AA67" s="9"/>
      <c r="AB67" s="100"/>
      <c r="AC67" s="70"/>
      <c r="AF67" s="74"/>
      <c r="AG67" s="74"/>
      <c r="AH67" s="74"/>
      <c r="AI67" s="74"/>
      <c r="AP67" s="2"/>
      <c r="AQ67" s="9"/>
      <c r="BE67" s="9"/>
      <c r="BQ67" s="9"/>
      <c r="CC67" s="9"/>
      <c r="CO67" s="9"/>
    </row>
    <row r="68" spans="1:93" x14ac:dyDescent="0.3">
      <c r="A68" s="11"/>
      <c r="B68" s="116"/>
      <c r="C68" s="101"/>
      <c r="D68" s="101"/>
      <c r="E68" s="101"/>
      <c r="F68" s="101"/>
      <c r="G68" s="101"/>
      <c r="H68" s="101"/>
      <c r="I68" s="101"/>
      <c r="J68" s="101"/>
      <c r="K68" s="11"/>
      <c r="W68" s="70"/>
      <c r="Y68" s="8"/>
      <c r="Z68" s="70"/>
      <c r="AA68" s="9"/>
      <c r="AB68" s="100"/>
      <c r="AC68" s="70"/>
      <c r="AF68" s="74"/>
      <c r="AG68" s="74"/>
      <c r="AH68" s="74"/>
      <c r="AI68" s="74"/>
      <c r="AP68" s="2"/>
      <c r="AQ68" s="9"/>
      <c r="BE68" s="9"/>
      <c r="BQ68" s="9"/>
      <c r="CC68" s="9"/>
      <c r="CO68" s="9"/>
    </row>
    <row r="69" spans="1:93" x14ac:dyDescent="0.3">
      <c r="A69" s="32"/>
      <c r="C69" s="84" t="s">
        <v>73</v>
      </c>
      <c r="D69" s="117">
        <v>0.1</v>
      </c>
      <c r="E69" s="88"/>
      <c r="F69" s="32"/>
      <c r="G69" s="32" t="str">
        <f>"Shape Factor"</f>
        <v>Shape Factor</v>
      </c>
      <c r="H69" s="118"/>
      <c r="I69" s="118"/>
      <c r="J69" s="4"/>
      <c r="K69" s="4"/>
      <c r="N69" s="119"/>
      <c r="O69" s="119"/>
      <c r="P69" s="119"/>
      <c r="Q69" s="119"/>
      <c r="R69" s="119"/>
      <c r="S69" s="119"/>
      <c r="U69" s="2"/>
      <c r="AP69" s="2"/>
    </row>
    <row r="70" spans="1:93" ht="15" x14ac:dyDescent="0.35">
      <c r="A70" s="32"/>
      <c r="B70" s="84" t="s">
        <v>74</v>
      </c>
      <c r="C70" s="84" t="s">
        <v>75</v>
      </c>
      <c r="D70" s="117">
        <v>65000</v>
      </c>
      <c r="E70" s="83" t="s">
        <v>57</v>
      </c>
      <c r="F70" s="120"/>
      <c r="G70" s="121" t="s">
        <v>76</v>
      </c>
      <c r="H70" s="122">
        <v>50</v>
      </c>
      <c r="I70" s="32"/>
      <c r="J70" s="4" t="s">
        <v>8</v>
      </c>
      <c r="K70" s="4"/>
      <c r="N70" s="119"/>
      <c r="O70" s="119"/>
      <c r="P70" s="119"/>
      <c r="Q70" s="119"/>
      <c r="R70" s="119"/>
      <c r="S70" s="119"/>
      <c r="U70" s="2"/>
      <c r="AP70" s="2"/>
    </row>
    <row r="71" spans="1:93" ht="15" x14ac:dyDescent="0.35">
      <c r="A71" s="32"/>
      <c r="B71" s="84"/>
      <c r="C71" s="84" t="s">
        <v>77</v>
      </c>
      <c r="D71" s="117">
        <v>63000</v>
      </c>
      <c r="E71" s="83" t="s">
        <v>57</v>
      </c>
      <c r="G71" s="121" t="s">
        <v>78</v>
      </c>
      <c r="H71" s="122">
        <v>20</v>
      </c>
      <c r="K71" s="4"/>
      <c r="N71" s="119"/>
      <c r="O71" s="119"/>
      <c r="P71" s="119"/>
      <c r="Q71" s="119"/>
      <c r="R71" s="119"/>
      <c r="S71" s="119"/>
      <c r="U71" s="2"/>
      <c r="AP71" s="2"/>
    </row>
    <row r="72" spans="1:93" ht="15" x14ac:dyDescent="0.35">
      <c r="A72" s="32"/>
      <c r="B72" s="84" t="s">
        <v>79</v>
      </c>
      <c r="C72" s="84" t="s">
        <v>80</v>
      </c>
      <c r="D72" s="117">
        <v>52000</v>
      </c>
      <c r="E72" s="83" t="s">
        <v>57</v>
      </c>
      <c r="F72" s="27"/>
      <c r="G72" s="121" t="s">
        <v>81</v>
      </c>
      <c r="H72" s="122">
        <v>25</v>
      </c>
      <c r="I72" s="32"/>
      <c r="J72" s="27"/>
      <c r="K72" s="4"/>
      <c r="N72" s="119"/>
      <c r="O72" s="119"/>
      <c r="P72" s="119"/>
      <c r="Q72" s="119"/>
      <c r="R72" s="119"/>
      <c r="S72" s="119"/>
      <c r="U72" s="2"/>
      <c r="X72" s="123" t="s">
        <v>82</v>
      </c>
      <c r="Y72" s="32"/>
      <c r="Z72" s="123"/>
      <c r="AA72" s="123"/>
      <c r="AB72" s="32"/>
      <c r="AC72" s="32"/>
      <c r="AD72" s="32"/>
      <c r="AF72" s="123" t="s">
        <v>83</v>
      </c>
      <c r="AP72" s="2"/>
    </row>
    <row r="73" spans="1:93" ht="15" x14ac:dyDescent="0.35">
      <c r="A73" s="32"/>
      <c r="B73" s="84"/>
      <c r="C73" s="84" t="s">
        <v>84</v>
      </c>
      <c r="D73" s="117">
        <v>51000</v>
      </c>
      <c r="E73" s="83" t="s">
        <v>57</v>
      </c>
      <c r="F73" s="27"/>
      <c r="G73" s="121" t="s">
        <v>85</v>
      </c>
      <c r="H73" s="122">
        <v>20</v>
      </c>
      <c r="I73" s="124"/>
      <c r="J73" s="21"/>
      <c r="K73" s="21"/>
      <c r="N73" s="119"/>
      <c r="O73" s="119"/>
      <c r="P73" s="119"/>
      <c r="Q73" s="119"/>
      <c r="R73" s="119"/>
      <c r="S73" s="119"/>
      <c r="U73" s="2"/>
      <c r="X73" s="123" t="s">
        <v>86</v>
      </c>
      <c r="Y73" s="32"/>
      <c r="Z73" s="123" t="s">
        <v>87</v>
      </c>
      <c r="AA73" s="123" t="s">
        <v>88</v>
      </c>
      <c r="AB73" s="123" t="s">
        <v>89</v>
      </c>
      <c r="AC73" s="123" t="s">
        <v>90</v>
      </c>
      <c r="AD73" s="145" t="s">
        <v>91</v>
      </c>
      <c r="AE73" s="145"/>
      <c r="AF73" s="123" t="s">
        <v>86</v>
      </c>
      <c r="AP73" s="2"/>
    </row>
    <row r="74" spans="1:93" ht="15" x14ac:dyDescent="0.35">
      <c r="A74" s="32"/>
      <c r="B74" s="84" t="s">
        <v>92</v>
      </c>
      <c r="C74" s="84" t="s">
        <v>93</v>
      </c>
      <c r="D74" s="117">
        <v>55000</v>
      </c>
      <c r="E74" s="83" t="s">
        <v>57</v>
      </c>
      <c r="F74" s="125"/>
      <c r="G74" s="146" t="s">
        <v>94</v>
      </c>
      <c r="H74" s="146"/>
      <c r="I74" s="146"/>
      <c r="J74" s="146"/>
      <c r="K74" s="4"/>
      <c r="N74" s="119"/>
      <c r="O74" s="119"/>
      <c r="P74" s="119"/>
      <c r="Q74" s="119"/>
      <c r="R74" s="119"/>
      <c r="S74" s="119"/>
      <c r="U74" s="2"/>
      <c r="X74" s="123" t="s">
        <v>83</v>
      </c>
      <c r="Y74" s="123" t="s">
        <v>95</v>
      </c>
      <c r="Z74" s="123" t="s">
        <v>96</v>
      </c>
      <c r="AA74" s="123" t="s">
        <v>97</v>
      </c>
      <c r="AB74" s="123" t="s">
        <v>97</v>
      </c>
      <c r="AC74" s="123" t="s">
        <v>98</v>
      </c>
      <c r="AD74" s="145" t="s">
        <v>99</v>
      </c>
      <c r="AE74" s="145"/>
      <c r="AF74" s="123" t="s">
        <v>100</v>
      </c>
      <c r="AP74" s="2"/>
    </row>
    <row r="75" spans="1:93" ht="15" x14ac:dyDescent="0.35">
      <c r="A75" s="32"/>
      <c r="B75" s="83"/>
      <c r="C75" s="84" t="s">
        <v>101</v>
      </c>
      <c r="D75" s="117">
        <v>53000</v>
      </c>
      <c r="E75" s="83" t="s">
        <v>57</v>
      </c>
      <c r="F75" s="125"/>
      <c r="G75" s="146"/>
      <c r="H75" s="146"/>
      <c r="I75" s="146"/>
      <c r="J75" s="146"/>
      <c r="K75" s="4"/>
      <c r="N75" s="119"/>
      <c r="O75" s="119"/>
      <c r="P75" s="119"/>
      <c r="Q75" s="119"/>
      <c r="R75" s="119"/>
      <c r="S75" s="119"/>
      <c r="U75" s="2"/>
      <c r="X75" s="123" t="s">
        <v>102</v>
      </c>
      <c r="Y75" s="123"/>
      <c r="Z75" s="123" t="s">
        <v>103</v>
      </c>
      <c r="AA75" s="123"/>
      <c r="AB75" s="123"/>
      <c r="AC75" s="32"/>
      <c r="AD75" s="145" t="s">
        <v>104</v>
      </c>
      <c r="AE75" s="145"/>
      <c r="AF75" s="123" t="s">
        <v>102</v>
      </c>
      <c r="AH75" s="126">
        <f>C57</f>
        <v>172997.39804037751</v>
      </c>
      <c r="AP75" s="2"/>
    </row>
    <row r="76" spans="1:93" ht="15" x14ac:dyDescent="0.35">
      <c r="A76" s="32"/>
      <c r="B76" s="84" t="s">
        <v>105</v>
      </c>
      <c r="C76" s="84" t="s">
        <v>106</v>
      </c>
      <c r="D76" s="117">
        <v>46000</v>
      </c>
      <c r="E76" s="83" t="s">
        <v>57</v>
      </c>
      <c r="F76" s="32"/>
      <c r="G76" s="32"/>
      <c r="H76" s="32"/>
      <c r="I76" s="4"/>
      <c r="J76" s="4"/>
      <c r="K76" s="4"/>
      <c r="N76" s="119"/>
      <c r="O76" s="119"/>
      <c r="P76" s="119"/>
      <c r="Q76" s="119"/>
      <c r="R76" s="119"/>
      <c r="S76" s="119"/>
      <c r="U76" s="2"/>
      <c r="X76" s="127"/>
      <c r="Y76" s="128"/>
      <c r="Z76" s="128"/>
      <c r="AA76" s="128"/>
      <c r="AB76" s="128"/>
      <c r="AC76" s="128"/>
      <c r="AD76" s="129" t="s">
        <v>107</v>
      </c>
      <c r="AE76" s="2" t="s">
        <v>108</v>
      </c>
      <c r="AF76" s="127"/>
      <c r="AG76" s="4"/>
      <c r="AP76" s="2"/>
    </row>
    <row r="77" spans="1:93" x14ac:dyDescent="0.3">
      <c r="A77" s="32"/>
      <c r="F77" s="32"/>
      <c r="G77" s="32"/>
      <c r="H77" s="32"/>
      <c r="I77" s="4"/>
      <c r="J77" s="4"/>
      <c r="K77" s="4"/>
      <c r="N77" s="119"/>
      <c r="O77" s="119"/>
      <c r="P77" s="119"/>
      <c r="Q77" s="119"/>
      <c r="R77" s="119"/>
      <c r="S77" s="119"/>
      <c r="U77" s="2"/>
      <c r="X77" s="123" t="s">
        <v>109</v>
      </c>
      <c r="Y77" s="123"/>
      <c r="Z77" s="32"/>
      <c r="AA77" s="123" t="s">
        <v>109</v>
      </c>
      <c r="AB77" s="123" t="s">
        <v>109</v>
      </c>
      <c r="AC77" s="32"/>
      <c r="AD77" s="32" t="s">
        <v>110</v>
      </c>
      <c r="AF77" s="123" t="s">
        <v>109</v>
      </c>
      <c r="AG77" s="4"/>
      <c r="AP77" s="2"/>
    </row>
    <row r="78" spans="1:93" x14ac:dyDescent="0.3">
      <c r="A78" s="32"/>
      <c r="F78" s="32"/>
      <c r="G78" s="32"/>
      <c r="H78" s="32"/>
      <c r="I78" s="4"/>
      <c r="J78" s="4"/>
      <c r="K78" s="4"/>
      <c r="N78" s="119"/>
      <c r="O78" s="119"/>
      <c r="P78" s="119"/>
      <c r="Q78" s="119"/>
      <c r="R78" s="119"/>
      <c r="S78" s="119"/>
      <c r="U78" s="2"/>
      <c r="X78" s="130">
        <v>0</v>
      </c>
      <c r="Y78" s="125">
        <f t="shared" ref="Y78:Y103" si="4">IF(X78&lt;MIN($D$74:$D$75),MIN($H$70:$H$73),(LOG(($D$69)/0.002))/(LOG(MIN($D$70:$D$71)/MIN($D$74:$D$75))))</f>
        <v>20</v>
      </c>
      <c r="Z78" s="131">
        <f t="shared" ref="Z78:Z103" si="5">(X78/MIN($G$20:$G$21))+0.002*(X78/MIN($D$74:$D$75))^Y78</f>
        <v>0</v>
      </c>
      <c r="AA78" s="130">
        <f>AB78</f>
        <v>16000000</v>
      </c>
      <c r="AB78" s="130">
        <f>MIN($C$24)</f>
        <v>16000000</v>
      </c>
      <c r="AC78" s="125">
        <f>0.5-((0.5-$C$25)*(AB78/MIN($C$24)))</f>
        <v>0.31</v>
      </c>
      <c r="AD78" s="125">
        <f>((AB78/MIN($C$24))*(1-$C$25^2)/(1-AC78^2))</f>
        <v>1</v>
      </c>
      <c r="AE78" s="28">
        <f>((AB78/MIN($C$24))*(1-$C$25^2)/(1-AC78^2))*(0.33+0.335*(1+((3*AA78)/AB78))^0.5)</f>
        <v>1</v>
      </c>
      <c r="AF78" s="130">
        <f>X78/AE78</f>
        <v>0</v>
      </c>
      <c r="AG78" s="4">
        <v>1</v>
      </c>
      <c r="AJ78" s="2">
        <f t="shared" ref="AJ78:AJ103" si="6">AD78/AE78</f>
        <v>1</v>
      </c>
      <c r="AP78" s="2"/>
    </row>
    <row r="79" spans="1:93" x14ac:dyDescent="0.3">
      <c r="B79" s="147" t="s">
        <v>117</v>
      </c>
      <c r="C79" s="147"/>
      <c r="D79" s="147"/>
      <c r="E79" s="147"/>
      <c r="F79" s="147"/>
      <c r="G79" s="147"/>
      <c r="H79" s="147"/>
      <c r="I79" s="147"/>
      <c r="J79" s="147"/>
      <c r="N79" s="119"/>
      <c r="O79" s="119"/>
      <c r="P79" s="119"/>
      <c r="Q79" s="119"/>
      <c r="R79" s="119"/>
      <c r="S79" s="119"/>
      <c r="U79" s="2"/>
      <c r="W79" s="11"/>
      <c r="X79" s="130">
        <f>MIN(D74:D75)*0.7</f>
        <v>37100</v>
      </c>
      <c r="Y79" s="125">
        <f t="shared" si="4"/>
        <v>20</v>
      </c>
      <c r="Z79" s="131">
        <f t="shared" si="5"/>
        <v>247.33333492917868</v>
      </c>
      <c r="AA79" s="130">
        <f>X79/((X79/MIN($C$24))+0.002*Y79*(X79/MIN($D$74:$D$75))^(Y79-1))</f>
        <v>15691445.574705247</v>
      </c>
      <c r="AB79" s="130">
        <f>X79/((X79/MIN($C$24))+0.002*(X79/MIN($D$74:$D$75))^Y79)</f>
        <v>15988995.810574243</v>
      </c>
      <c r="AC79" s="125">
        <f t="shared" ref="AC79:AC103" si="7">0.5-((0.5-$C$25)*(AB79/MIN($C$24)))</f>
        <v>0.31013067474943085</v>
      </c>
      <c r="AD79" s="125">
        <f t="shared" ref="AD79:AD103" si="8">((AB79/MIN($C$24))*(1-$C$25^2)/(1-AC79^2))</f>
        <v>0.99940183540396765</v>
      </c>
      <c r="AE79" s="28">
        <f t="shared" ref="AE79:AE103" si="9">((AB79/MIN($C$24))*(1-$C$25^2)/(1-AC79^2))*(0.33+0.335*(1+((3*AA79)/AB79))^0.5)</f>
        <v>0.99471252795355602</v>
      </c>
      <c r="AF79" s="130">
        <f t="shared" ref="AF79:AF103" si="10">X79/AE79</f>
        <v>37297.207944416514</v>
      </c>
      <c r="AG79" s="4">
        <v>2</v>
      </c>
      <c r="AH79" s="2">
        <f>MATCH(AH75,AF78:AF103)</f>
        <v>19</v>
      </c>
      <c r="AI79" s="2">
        <f>AH79+1</f>
        <v>20</v>
      </c>
      <c r="AJ79" s="2">
        <f t="shared" si="6"/>
        <v>1.0047142338300081</v>
      </c>
      <c r="AP79" s="2"/>
    </row>
    <row r="80" spans="1:93" x14ac:dyDescent="0.3">
      <c r="B80" s="147"/>
      <c r="C80" s="147"/>
      <c r="D80" s="147"/>
      <c r="E80" s="147"/>
      <c r="F80" s="147"/>
      <c r="G80" s="147"/>
      <c r="H80" s="147"/>
      <c r="I80" s="147"/>
      <c r="J80" s="147"/>
      <c r="N80" s="119"/>
      <c r="O80" s="119"/>
      <c r="P80" s="119"/>
      <c r="Q80" s="119"/>
      <c r="R80" s="119"/>
      <c r="S80" s="119"/>
      <c r="U80" s="2"/>
      <c r="W80" s="2">
        <f>(X95-X79)/16</f>
        <v>993.75</v>
      </c>
      <c r="X80" s="130">
        <f t="shared" ref="X80:X94" si="11">X79+$W$80</f>
        <v>38093.75</v>
      </c>
      <c r="Y80" s="125">
        <f t="shared" si="4"/>
        <v>20</v>
      </c>
      <c r="Z80" s="131">
        <f t="shared" si="5"/>
        <v>253.95833604094983</v>
      </c>
      <c r="AA80" s="130">
        <f t="shared" ref="AA80:AA103" si="12">X80/((X80/MIN($C$24))+0.002*Y80*(X80/MIN($D$74:$D$75))^(Y80-1))</f>
        <v>15509210.532160684</v>
      </c>
      <c r="AB80" s="130">
        <f t="shared" ref="AB80:AB103" si="13">X80/((X80/MIN($C$24))+0.002*(X80/MIN($D$74:$D$75))^Y80)</f>
        <v>15981824.776094742</v>
      </c>
      <c r="AC80" s="125">
        <f t="shared" si="7"/>
        <v>0.31021583078387494</v>
      </c>
      <c r="AD80" s="125">
        <f t="shared" si="8"/>
        <v>0.9990119956383664</v>
      </c>
      <c r="AE80" s="28">
        <f t="shared" si="9"/>
        <v>0.99154775646910387</v>
      </c>
      <c r="AF80" s="130">
        <f t="shared" si="10"/>
        <v>38418.472283827898</v>
      </c>
      <c r="AG80" s="4">
        <v>3</v>
      </c>
      <c r="AH80" s="126">
        <f>INDEX(AF78:AF103,AH79)</f>
        <v>142120.89966863167</v>
      </c>
      <c r="AI80" s="126">
        <f>INDEX(AF78:AF103,AI79)</f>
        <v>189008.20364981226</v>
      </c>
      <c r="AJ80" s="2">
        <f t="shared" si="6"/>
        <v>1.0075278665304459</v>
      </c>
      <c r="AP80" s="2"/>
    </row>
    <row r="81" spans="1:42" x14ac:dyDescent="0.3">
      <c r="A81" s="32"/>
      <c r="B81"/>
      <c r="C81" s="118"/>
      <c r="D81" s="132"/>
      <c r="E81" s="132"/>
      <c r="F81" s="132"/>
      <c r="G81" s="124"/>
      <c r="H81" s="124"/>
      <c r="I81" s="4"/>
      <c r="J81" s="4"/>
      <c r="K81" s="4"/>
      <c r="N81" s="119"/>
      <c r="O81" s="119"/>
      <c r="P81" s="119"/>
      <c r="Q81" s="119"/>
      <c r="R81" s="119"/>
      <c r="S81" s="119"/>
      <c r="U81" s="2"/>
      <c r="X81" s="130">
        <f t="shared" si="11"/>
        <v>39087.5</v>
      </c>
      <c r="Y81" s="125">
        <f t="shared" si="4"/>
        <v>20</v>
      </c>
      <c r="Z81" s="131">
        <f t="shared" si="5"/>
        <v>260.58333786513072</v>
      </c>
      <c r="AA81" s="130">
        <f t="shared" si="12"/>
        <v>15233654.436024761</v>
      </c>
      <c r="AB81" s="130">
        <f t="shared" si="13"/>
        <v>15970374.364599969</v>
      </c>
      <c r="AC81" s="125">
        <f t="shared" si="7"/>
        <v>0.31035180442037535</v>
      </c>
      <c r="AD81" s="125">
        <f t="shared" si="8"/>
        <v>0.99838945433961712</v>
      </c>
      <c r="AE81" s="28">
        <f t="shared" si="9"/>
        <v>0.98671599752831951</v>
      </c>
      <c r="AF81" s="130">
        <f t="shared" si="10"/>
        <v>39613.728872251471</v>
      </c>
      <c r="AG81" s="4">
        <v>4</v>
      </c>
      <c r="AH81" s="126">
        <f>INDEX(X78:X103,AH79)</f>
        <v>54250</v>
      </c>
      <c r="AI81" s="126">
        <f>INDEX(X78:X103,AI79)</f>
        <v>55500</v>
      </c>
      <c r="AJ81" s="2">
        <f t="shared" si="6"/>
        <v>1.0118306147265668</v>
      </c>
      <c r="AP81" s="2"/>
    </row>
    <row r="82" spans="1:42" x14ac:dyDescent="0.3">
      <c r="A82" s="32"/>
      <c r="B82" s="121"/>
      <c r="C82" s="133"/>
      <c r="D82" s="32"/>
      <c r="E82" s="118"/>
      <c r="F82" s="118"/>
      <c r="G82" s="124"/>
      <c r="H82" s="124"/>
      <c r="I82" s="4"/>
      <c r="J82" s="4"/>
      <c r="K82" s="4"/>
      <c r="N82" s="119"/>
      <c r="O82" s="119"/>
      <c r="P82" s="119"/>
      <c r="Q82" s="119"/>
      <c r="R82" s="119"/>
      <c r="S82" s="119"/>
      <c r="U82" s="2"/>
      <c r="W82" s="2">
        <f>(X103-X95)/8</f>
        <v>1250</v>
      </c>
      <c r="X82" s="130">
        <f t="shared" si="11"/>
        <v>40081.25</v>
      </c>
      <c r="Y82" s="125">
        <f t="shared" si="4"/>
        <v>20</v>
      </c>
      <c r="Z82" s="131">
        <f t="shared" si="5"/>
        <v>267.20834082084906</v>
      </c>
      <c r="AA82" s="130">
        <f t="shared" si="12"/>
        <v>14827909.842507055</v>
      </c>
      <c r="AB82" s="130">
        <f t="shared" si="13"/>
        <v>15952319.553352272</v>
      </c>
      <c r="AC82" s="125">
        <f t="shared" si="7"/>
        <v>0.31056620530394174</v>
      </c>
      <c r="AD82" s="125">
        <f t="shared" si="8"/>
        <v>0.99740768867038054</v>
      </c>
      <c r="AE82" s="28">
        <f t="shared" si="9"/>
        <v>0.97950425065167046</v>
      </c>
      <c r="AF82" s="130">
        <f t="shared" si="10"/>
        <v>40919.934725483516</v>
      </c>
      <c r="AG82" s="4">
        <v>5</v>
      </c>
      <c r="AJ82" s="2">
        <f t="shared" si="6"/>
        <v>1.0182780605666579</v>
      </c>
      <c r="AP82" s="2"/>
    </row>
    <row r="83" spans="1:42" x14ac:dyDescent="0.3">
      <c r="A83" s="32"/>
      <c r="K83" s="4"/>
      <c r="N83" s="119"/>
      <c r="O83" s="119"/>
      <c r="P83" s="119"/>
      <c r="Q83" s="119"/>
      <c r="R83" s="119"/>
      <c r="S83" s="119"/>
      <c r="U83" s="2"/>
      <c r="X83" s="130">
        <f t="shared" si="11"/>
        <v>41075</v>
      </c>
      <c r="Y83" s="125">
        <f t="shared" si="4"/>
        <v>20</v>
      </c>
      <c r="Z83" s="131">
        <f t="shared" si="5"/>
        <v>273.83334555313184</v>
      </c>
      <c r="AA83" s="130">
        <f t="shared" si="12"/>
        <v>14249599.575380243</v>
      </c>
      <c r="AB83" s="130">
        <f t="shared" si="13"/>
        <v>15924200.890397154</v>
      </c>
      <c r="AC83" s="125">
        <f t="shared" si="7"/>
        <v>0.31090011442653376</v>
      </c>
      <c r="AD83" s="125">
        <f t="shared" si="8"/>
        <v>0.99587830696510782</v>
      </c>
      <c r="AE83" s="28">
        <f t="shared" si="9"/>
        <v>0.96902521091199478</v>
      </c>
      <c r="AF83" s="130">
        <f t="shared" si="10"/>
        <v>42387.958060804631</v>
      </c>
      <c r="AG83" s="4">
        <v>6</v>
      </c>
      <c r="AJ83" s="2">
        <f t="shared" si="6"/>
        <v>1.0277114524480124</v>
      </c>
      <c r="AP83" s="2"/>
    </row>
    <row r="84" spans="1:42" x14ac:dyDescent="0.3">
      <c r="A84" s="32"/>
      <c r="K84" s="4"/>
      <c r="N84" s="119"/>
      <c r="O84" s="119"/>
      <c r="P84" s="119"/>
      <c r="Q84" s="119"/>
      <c r="R84" s="119"/>
      <c r="S84" s="119"/>
      <c r="U84" s="2"/>
      <c r="W84" s="11"/>
      <c r="X84" s="130">
        <f t="shared" si="11"/>
        <v>42068.75</v>
      </c>
      <c r="Y84" s="125">
        <f t="shared" si="4"/>
        <v>20</v>
      </c>
      <c r="Z84" s="131">
        <f t="shared" si="5"/>
        <v>280.45835304415647</v>
      </c>
      <c r="AA84" s="130">
        <f t="shared" si="12"/>
        <v>13457919.397838172</v>
      </c>
      <c r="AB84" s="130">
        <f t="shared" si="13"/>
        <v>15880946.6764354</v>
      </c>
      <c r="AC84" s="125">
        <f t="shared" si="7"/>
        <v>0.31141375821732964</v>
      </c>
      <c r="AD84" s="125">
        <f t="shared" si="8"/>
        <v>0.99352480524813946</v>
      </c>
      <c r="AE84" s="28">
        <f t="shared" si="9"/>
        <v>0.95428194232645625</v>
      </c>
      <c r="AF84" s="130">
        <f t="shared" si="10"/>
        <v>44084.193710550629</v>
      </c>
      <c r="AG84" s="4">
        <v>7</v>
      </c>
      <c r="AI84" s="2">
        <f>(AI81-AH81)/(AI80-AH80)*(AH75-AH80)+AH81</f>
        <v>55073.157223545495</v>
      </c>
      <c r="AJ84" s="2">
        <f t="shared" si="6"/>
        <v>1.0411229230912749</v>
      </c>
      <c r="AP84" s="2"/>
    </row>
    <row r="85" spans="1:42" x14ac:dyDescent="0.3">
      <c r="A85" s="32"/>
      <c r="B85" s="32"/>
      <c r="C85" s="118"/>
      <c r="D85" s="118"/>
      <c r="E85" s="118"/>
      <c r="F85" s="118"/>
      <c r="G85" s="124"/>
      <c r="H85" s="124"/>
      <c r="I85" s="4"/>
      <c r="J85" s="4"/>
      <c r="K85" s="4"/>
      <c r="N85" s="119"/>
      <c r="O85" s="119"/>
      <c r="P85" s="119"/>
      <c r="Q85" s="119"/>
      <c r="R85" s="119"/>
      <c r="S85" s="119"/>
      <c r="U85" s="2"/>
      <c r="W85" s="11"/>
      <c r="X85" s="130">
        <f t="shared" si="11"/>
        <v>43062.5</v>
      </c>
      <c r="Y85" s="125">
        <f t="shared" si="4"/>
        <v>20</v>
      </c>
      <c r="Z85" s="131">
        <f t="shared" si="5"/>
        <v>287.08336477440849</v>
      </c>
      <c r="AA85" s="130">
        <f t="shared" si="12"/>
        <v>12426629.114181137</v>
      </c>
      <c r="AB85" s="130">
        <f t="shared" si="13"/>
        <v>15815245.901666217</v>
      </c>
      <c r="AC85" s="125">
        <f t="shared" si="7"/>
        <v>0.31219395491771368</v>
      </c>
      <c r="AD85" s="125">
        <f t="shared" si="8"/>
        <v>0.98994788344622053</v>
      </c>
      <c r="AE85" s="28">
        <f t="shared" si="9"/>
        <v>0.93432303446082132</v>
      </c>
      <c r="AF85" s="130">
        <f t="shared" si="10"/>
        <v>46089.519803876487</v>
      </c>
      <c r="AG85" s="4">
        <v>8</v>
      </c>
      <c r="AJ85" s="2">
        <f t="shared" si="6"/>
        <v>1.0595349220063905</v>
      </c>
      <c r="AP85" s="2"/>
    </row>
    <row r="86" spans="1:42" x14ac:dyDescent="0.3">
      <c r="A86" s="32"/>
      <c r="B86" s="134" t="s">
        <v>111</v>
      </c>
      <c r="E86" s="132"/>
      <c r="F86" s="132"/>
      <c r="G86" s="124"/>
      <c r="H86" s="124"/>
      <c r="I86" s="4"/>
      <c r="J86" s="4"/>
      <c r="K86" s="4"/>
      <c r="N86" s="119"/>
      <c r="O86" s="119"/>
      <c r="P86" s="119"/>
      <c r="Q86" s="119"/>
      <c r="R86" s="119"/>
      <c r="S86" s="119"/>
      <c r="U86" s="2"/>
      <c r="X86" s="130">
        <f t="shared" si="11"/>
        <v>44056.25</v>
      </c>
      <c r="Y86" s="125">
        <f t="shared" si="4"/>
        <v>20</v>
      </c>
      <c r="Z86" s="131">
        <f t="shared" si="5"/>
        <v>293.70838295406475</v>
      </c>
      <c r="AA86" s="130">
        <f t="shared" si="12"/>
        <v>11160833.358314747</v>
      </c>
      <c r="AB86" s="130">
        <f t="shared" si="13"/>
        <v>15716770.216524825</v>
      </c>
      <c r="AC86" s="125">
        <f t="shared" si="7"/>
        <v>0.31336335367876766</v>
      </c>
      <c r="AD86" s="125">
        <f t="shared" si="8"/>
        <v>0.98458187114925011</v>
      </c>
      <c r="AE86" s="28">
        <f t="shared" si="9"/>
        <v>0.90848384921121095</v>
      </c>
      <c r="AF86" s="130">
        <f t="shared" si="10"/>
        <v>48494.257810143507</v>
      </c>
      <c r="AG86" s="4">
        <v>9</v>
      </c>
      <c r="AJ86" s="2">
        <f t="shared" si="6"/>
        <v>1.0837637587108577</v>
      </c>
      <c r="AP86" s="2"/>
    </row>
    <row r="87" spans="1:42" x14ac:dyDescent="0.3">
      <c r="A87" s="32"/>
      <c r="B87" s="121"/>
      <c r="C87" s="120"/>
      <c r="D87" s="124"/>
      <c r="E87" s="121"/>
      <c r="F87" s="120"/>
      <c r="G87" s="124"/>
      <c r="H87" s="124"/>
      <c r="I87" s="4"/>
      <c r="J87" s="4"/>
      <c r="K87" s="4"/>
      <c r="N87" s="119"/>
      <c r="O87" s="119"/>
      <c r="P87" s="119"/>
      <c r="Q87" s="119"/>
      <c r="R87" s="119"/>
      <c r="S87" s="119"/>
      <c r="U87" s="2"/>
      <c r="X87" s="130">
        <f t="shared" si="11"/>
        <v>45050</v>
      </c>
      <c r="Y87" s="125">
        <f t="shared" si="4"/>
        <v>20</v>
      </c>
      <c r="Z87" s="131">
        <f t="shared" si="5"/>
        <v>300.3334108523955</v>
      </c>
      <c r="AA87" s="130">
        <f t="shared" si="12"/>
        <v>9709882.6444387324</v>
      </c>
      <c r="AB87" s="130">
        <f t="shared" si="13"/>
        <v>15571295.114224425</v>
      </c>
      <c r="AC87" s="125">
        <f t="shared" si="7"/>
        <v>0.31509087051858498</v>
      </c>
      <c r="AD87" s="125">
        <f t="shared" si="8"/>
        <v>0.97664430382021739</v>
      </c>
      <c r="AE87" s="28">
        <f t="shared" si="9"/>
        <v>0.87663387860497033</v>
      </c>
      <c r="AF87" s="130">
        <f t="shared" si="10"/>
        <v>51389.75471914254</v>
      </c>
      <c r="AG87" s="4">
        <v>10</v>
      </c>
      <c r="AH87" s="126">
        <f>AH75</f>
        <v>172997.39804037751</v>
      </c>
      <c r="AI87" s="2">
        <v>0</v>
      </c>
      <c r="AJ87" s="2">
        <f t="shared" si="6"/>
        <v>1.1140845998039666</v>
      </c>
      <c r="AP87" s="2"/>
    </row>
    <row r="88" spans="1:42" x14ac:dyDescent="0.3">
      <c r="A88" s="32"/>
      <c r="B88" s="121"/>
      <c r="C88" s="135"/>
      <c r="D88" s="124"/>
      <c r="E88" s="121"/>
      <c r="F88" s="120"/>
      <c r="G88" s="124"/>
      <c r="H88" s="124"/>
      <c r="I88" s="19"/>
      <c r="J88" s="4"/>
      <c r="K88" s="4"/>
      <c r="L88" s="21"/>
      <c r="N88" s="119"/>
      <c r="O88" s="119"/>
      <c r="P88" s="119"/>
      <c r="Q88" s="119"/>
      <c r="R88" s="119"/>
      <c r="S88" s="119"/>
      <c r="U88" s="2"/>
      <c r="X88" s="130">
        <f t="shared" si="11"/>
        <v>46043.75</v>
      </c>
      <c r="Y88" s="125">
        <f t="shared" si="4"/>
        <v>20</v>
      </c>
      <c r="Z88" s="131">
        <f t="shared" si="5"/>
        <v>306.95845326292294</v>
      </c>
      <c r="AA88" s="130">
        <f t="shared" si="12"/>
        <v>8165662.7745685196</v>
      </c>
      <c r="AB88" s="130">
        <f t="shared" si="13"/>
        <v>15359877.072047317</v>
      </c>
      <c r="AC88" s="125">
        <f t="shared" si="7"/>
        <v>0.3176014597694381</v>
      </c>
      <c r="AD88" s="125">
        <f t="shared" si="8"/>
        <v>0.9650859370636532</v>
      </c>
      <c r="AE88" s="28">
        <f t="shared" si="9"/>
        <v>0.83927538373418964</v>
      </c>
      <c r="AF88" s="130">
        <f t="shared" si="10"/>
        <v>54861.313571640159</v>
      </c>
      <c r="AG88" s="4">
        <v>11</v>
      </c>
      <c r="AH88" s="126">
        <f>AH75</f>
        <v>172997.39804037751</v>
      </c>
      <c r="AI88" s="2">
        <f>AI84</f>
        <v>55073.157223545495</v>
      </c>
      <c r="AJ88" s="2">
        <f t="shared" si="6"/>
        <v>1.1499037810089157</v>
      </c>
      <c r="AP88" s="2"/>
    </row>
    <row r="89" spans="1:42" x14ac:dyDescent="0.3">
      <c r="A89" s="32"/>
      <c r="B89" s="121"/>
      <c r="C89" s="120"/>
      <c r="D89" s="124"/>
      <c r="E89" s="121"/>
      <c r="F89" s="120"/>
      <c r="G89" s="124"/>
      <c r="H89" s="124"/>
      <c r="I89" s="4"/>
      <c r="J89" s="4"/>
      <c r="K89" s="4"/>
      <c r="L89" s="136"/>
      <c r="N89" s="119"/>
      <c r="O89" s="119"/>
      <c r="P89" s="119"/>
      <c r="Q89" s="119"/>
      <c r="R89" s="119"/>
      <c r="S89" s="119"/>
      <c r="U89" s="2"/>
      <c r="X89" s="130">
        <f t="shared" si="11"/>
        <v>47037.5</v>
      </c>
      <c r="Y89" s="125">
        <f t="shared" si="4"/>
        <v>20</v>
      </c>
      <c r="Z89" s="131">
        <f t="shared" si="5"/>
        <v>313.58351715522463</v>
      </c>
      <c r="AA89" s="130">
        <f t="shared" si="12"/>
        <v>6641548.7689063996</v>
      </c>
      <c r="AB89" s="130">
        <f t="shared" si="13"/>
        <v>15058429.870882384</v>
      </c>
      <c r="AC89" s="125">
        <f t="shared" si="7"/>
        <v>0.32118114528327169</v>
      </c>
      <c r="AD89" s="125">
        <f t="shared" si="8"/>
        <v>0.94855786768277106</v>
      </c>
      <c r="AE89" s="28">
        <f t="shared" si="9"/>
        <v>0.79736125551555848</v>
      </c>
      <c r="AF89" s="130">
        <f t="shared" si="10"/>
        <v>58991.454218058861</v>
      </c>
      <c r="AG89" s="4">
        <v>12</v>
      </c>
      <c r="AH89" s="2">
        <v>0</v>
      </c>
      <c r="AI89" s="2">
        <f>AI84</f>
        <v>55073.157223545495</v>
      </c>
      <c r="AJ89" s="2">
        <f t="shared" si="6"/>
        <v>1.1896212176367307</v>
      </c>
      <c r="AP89" s="2"/>
    </row>
    <row r="90" spans="1:42" x14ac:dyDescent="0.3">
      <c r="A90" s="32"/>
      <c r="B90" s="32"/>
      <c r="C90" s="32"/>
      <c r="D90" s="32"/>
      <c r="E90" s="32"/>
      <c r="F90" s="32"/>
      <c r="G90" s="32"/>
      <c r="H90" s="32"/>
      <c r="I90" s="4"/>
      <c r="J90" s="4"/>
      <c r="K90" s="4"/>
      <c r="L90" s="136"/>
      <c r="N90" s="119"/>
      <c r="O90" s="119"/>
      <c r="P90" s="119"/>
      <c r="Q90" s="119"/>
      <c r="R90" s="119"/>
      <c r="S90" s="119"/>
      <c r="U90" s="2"/>
      <c r="X90" s="130">
        <f t="shared" si="11"/>
        <v>48031.25</v>
      </c>
      <c r="Y90" s="125">
        <f t="shared" si="4"/>
        <v>20</v>
      </c>
      <c r="Z90" s="131">
        <f t="shared" si="5"/>
        <v>320.20861258153644</v>
      </c>
      <c r="AA90" s="130">
        <f t="shared" si="12"/>
        <v>5240913.0982292648</v>
      </c>
      <c r="AB90" s="130">
        <f t="shared" si="13"/>
        <v>14638312.373068586</v>
      </c>
      <c r="AC90" s="125">
        <f t="shared" si="7"/>
        <v>0.32617004056981053</v>
      </c>
      <c r="AD90" s="125">
        <f t="shared" si="8"/>
        <v>0.92542640135533005</v>
      </c>
      <c r="AE90" s="28">
        <f t="shared" si="9"/>
        <v>0.75186822761664351</v>
      </c>
      <c r="AF90" s="130">
        <f t="shared" si="10"/>
        <v>63882.537173109253</v>
      </c>
      <c r="AG90" s="4">
        <v>13</v>
      </c>
      <c r="AJ90" s="2">
        <f t="shared" si="6"/>
        <v>1.2308358929979668</v>
      </c>
      <c r="AP90" s="2"/>
    </row>
    <row r="91" spans="1:42" x14ac:dyDescent="0.3">
      <c r="A91" s="32"/>
      <c r="B91" s="32"/>
      <c r="C91" s="32"/>
      <c r="D91" s="32"/>
      <c r="E91" s="32"/>
      <c r="F91" s="32"/>
      <c r="G91" s="32"/>
      <c r="H91" s="32"/>
      <c r="I91" s="4"/>
      <c r="J91" s="4"/>
      <c r="K91" s="4"/>
      <c r="L91" s="136"/>
      <c r="N91" s="119"/>
      <c r="O91" s="119"/>
      <c r="P91" s="119"/>
      <c r="Q91" s="119"/>
      <c r="R91" s="119"/>
      <c r="S91" s="119"/>
      <c r="U91" s="2"/>
      <c r="X91" s="130">
        <f t="shared" si="11"/>
        <v>49025</v>
      </c>
      <c r="Y91" s="125">
        <f t="shared" si="4"/>
        <v>20</v>
      </c>
      <c r="Z91" s="131">
        <f t="shared" si="5"/>
        <v>326.83375392886103</v>
      </c>
      <c r="AA91" s="130">
        <f t="shared" si="12"/>
        <v>4032317.8098956924</v>
      </c>
      <c r="AB91" s="130">
        <f t="shared" si="13"/>
        <v>14068812.379816609</v>
      </c>
      <c r="AC91" s="125">
        <f t="shared" si="7"/>
        <v>0.33293285298967779</v>
      </c>
      <c r="AD91" s="125">
        <f t="shared" si="8"/>
        <v>0.89388164032053097</v>
      </c>
      <c r="AE91" s="28">
        <f t="shared" si="9"/>
        <v>0.703359404377359</v>
      </c>
      <c r="AF91" s="130">
        <f t="shared" si="10"/>
        <v>69701.207796316914</v>
      </c>
      <c r="AG91" s="4">
        <v>14</v>
      </c>
      <c r="AJ91" s="2">
        <f t="shared" si="6"/>
        <v>1.2708746549167558</v>
      </c>
      <c r="AP91" s="2"/>
    </row>
    <row r="92" spans="1:42" x14ac:dyDescent="0.3">
      <c r="A92" s="32"/>
      <c r="B92" s="137"/>
      <c r="C92" s="138"/>
      <c r="D92" s="138"/>
      <c r="E92" s="138"/>
      <c r="F92" s="138"/>
      <c r="G92" s="138"/>
      <c r="H92" s="138"/>
      <c r="I92" s="138"/>
      <c r="J92" s="138"/>
      <c r="K92" s="4"/>
      <c r="L92" s="136"/>
      <c r="N92" s="119"/>
      <c r="O92" s="119"/>
      <c r="P92" s="119"/>
      <c r="Q92" s="119"/>
      <c r="R92" s="119"/>
      <c r="S92" s="119"/>
      <c r="U92" s="2"/>
      <c r="X92" s="130">
        <f t="shared" si="11"/>
        <v>50018.75</v>
      </c>
      <c r="Y92" s="125">
        <f t="shared" si="4"/>
        <v>20</v>
      </c>
      <c r="Z92" s="131">
        <f t="shared" si="5"/>
        <v>333.4589616365576</v>
      </c>
      <c r="AA92" s="130">
        <f t="shared" si="12"/>
        <v>3042279.66480166</v>
      </c>
      <c r="AB92" s="130">
        <f t="shared" si="13"/>
        <v>13322434.874973243</v>
      </c>
      <c r="AC92" s="125">
        <f t="shared" si="7"/>
        <v>0.34179608585969273</v>
      </c>
      <c r="AD92" s="125">
        <f t="shared" si="8"/>
        <v>0.85219116701220421</v>
      </c>
      <c r="AE92" s="28">
        <f t="shared" si="9"/>
        <v>0.65181093938896617</v>
      </c>
      <c r="AF92" s="130">
        <f t="shared" si="10"/>
        <v>76738.126007657367</v>
      </c>
      <c r="AG92" s="4">
        <v>15</v>
      </c>
      <c r="AJ92" s="2">
        <f t="shared" si="6"/>
        <v>1.3074207803432734</v>
      </c>
      <c r="AP92" s="2"/>
    </row>
    <row r="93" spans="1:42" x14ac:dyDescent="0.3">
      <c r="A93" s="32"/>
      <c r="B93" s="121"/>
      <c r="C93" s="138"/>
      <c r="D93" s="138"/>
      <c r="E93" s="138"/>
      <c r="F93" s="138"/>
      <c r="G93" s="138"/>
      <c r="H93" s="138"/>
      <c r="I93" s="138"/>
      <c r="J93" s="138"/>
      <c r="K93" s="4"/>
      <c r="L93" s="136"/>
      <c r="N93" s="119"/>
      <c r="O93" s="119"/>
      <c r="P93" s="119"/>
      <c r="Q93" s="119"/>
      <c r="R93" s="119"/>
      <c r="S93" s="119"/>
      <c r="U93" s="2"/>
      <c r="X93" s="130">
        <f t="shared" si="11"/>
        <v>51012.5</v>
      </c>
      <c r="Y93" s="125">
        <f t="shared" si="4"/>
        <v>20</v>
      </c>
      <c r="Z93" s="131">
        <f t="shared" si="5"/>
        <v>340.08426453717561</v>
      </c>
      <c r="AA93" s="130">
        <f t="shared" si="12"/>
        <v>2263402.4560137042</v>
      </c>
      <c r="AB93" s="130">
        <f t="shared" si="13"/>
        <v>12383222.382692179</v>
      </c>
      <c r="AC93" s="125">
        <f t="shared" si="7"/>
        <v>0.35294923420553037</v>
      </c>
      <c r="AD93" s="125">
        <f t="shared" si="8"/>
        <v>0.7991240833117994</v>
      </c>
      <c r="AE93" s="28">
        <f t="shared" si="9"/>
        <v>0.59682434003172702</v>
      </c>
      <c r="AF93" s="130">
        <f t="shared" si="10"/>
        <v>85473.223155222164</v>
      </c>
      <c r="AG93" s="4">
        <v>16</v>
      </c>
      <c r="AH93" s="2">
        <v>0</v>
      </c>
      <c r="AI93" s="2">
        <v>0</v>
      </c>
      <c r="AJ93" s="2">
        <f t="shared" si="6"/>
        <v>1.3389602764346342</v>
      </c>
      <c r="AP93" s="2"/>
    </row>
    <row r="94" spans="1:42" x14ac:dyDescent="0.3">
      <c r="L94" s="136"/>
      <c r="N94" s="119"/>
      <c r="O94" s="119"/>
      <c r="P94" s="119"/>
      <c r="Q94" s="119"/>
      <c r="R94" s="119"/>
      <c r="S94" s="119"/>
      <c r="U94" s="2"/>
      <c r="X94" s="130">
        <f t="shared" si="11"/>
        <v>52006.25</v>
      </c>
      <c r="Y94" s="125">
        <f t="shared" si="4"/>
        <v>20</v>
      </c>
      <c r="Z94" s="131">
        <f t="shared" si="5"/>
        <v>346.70970302682053</v>
      </c>
      <c r="AA94" s="130">
        <f t="shared" si="12"/>
        <v>1668593.8690076515</v>
      </c>
      <c r="AB94" s="130">
        <f t="shared" si="13"/>
        <v>11256559.131138744</v>
      </c>
      <c r="AC94" s="125">
        <f t="shared" si="7"/>
        <v>0.36632836031772742</v>
      </c>
      <c r="AD94" s="125">
        <f t="shared" si="8"/>
        <v>0.73449138701503536</v>
      </c>
      <c r="AE94" s="28">
        <f t="shared" si="9"/>
        <v>0.53812906660763293</v>
      </c>
      <c r="AF94" s="130">
        <f t="shared" si="10"/>
        <v>96642.707534546571</v>
      </c>
      <c r="AG94" s="4">
        <v>17</v>
      </c>
      <c r="AH94" s="126">
        <f>AI94</f>
        <v>53000</v>
      </c>
      <c r="AI94" s="126">
        <f>X95</f>
        <v>53000</v>
      </c>
      <c r="AJ94" s="2">
        <f t="shared" si="6"/>
        <v>1.3648981863129435</v>
      </c>
      <c r="AP94" s="2"/>
    </row>
    <row r="95" spans="1:42" x14ac:dyDescent="0.3">
      <c r="N95" s="119"/>
      <c r="O95" s="119"/>
      <c r="P95" s="119"/>
      <c r="Q95" s="119"/>
      <c r="R95" s="119"/>
      <c r="S95" s="119"/>
      <c r="U95" s="2"/>
      <c r="X95" s="130">
        <f>MIN(D74:D75)</f>
        <v>53000</v>
      </c>
      <c r="Y95" s="125">
        <f t="shared" si="4"/>
        <v>22.633414379010524</v>
      </c>
      <c r="Z95" s="131">
        <f t="shared" si="5"/>
        <v>353.33533333333332</v>
      </c>
      <c r="AA95" s="130">
        <f t="shared" si="12"/>
        <v>1090999.0186154854</v>
      </c>
      <c r="AB95" s="130">
        <f t="shared" si="13"/>
        <v>9976470.5882352944</v>
      </c>
      <c r="AC95" s="125">
        <f t="shared" si="7"/>
        <v>0.38152941176470589</v>
      </c>
      <c r="AD95" s="125">
        <f t="shared" si="8"/>
        <v>0.65962657446911943</v>
      </c>
      <c r="AE95" s="28">
        <f t="shared" si="9"/>
        <v>0.47233264579574974</v>
      </c>
      <c r="AF95" s="130">
        <f t="shared" si="10"/>
        <v>112209.05535908845</v>
      </c>
      <c r="AG95" s="4">
        <v>18</v>
      </c>
      <c r="AH95" s="126">
        <f>AF103</f>
        <v>2014935.5819624227</v>
      </c>
      <c r="AI95" s="126">
        <f>AI94</f>
        <v>53000</v>
      </c>
      <c r="AJ95" s="2">
        <f t="shared" si="6"/>
        <v>1.3965297134137982</v>
      </c>
      <c r="AP95" s="2"/>
    </row>
    <row r="96" spans="1:42" s="27" customFormat="1" x14ac:dyDescent="0.3">
      <c r="L96" s="4"/>
      <c r="M96" s="12"/>
      <c r="N96" s="119"/>
      <c r="O96" s="119"/>
      <c r="P96" s="119"/>
      <c r="Q96" s="119"/>
      <c r="R96" s="119"/>
      <c r="S96" s="119"/>
      <c r="T96" s="119"/>
      <c r="V96" s="2"/>
      <c r="W96" s="2"/>
      <c r="X96" s="130">
        <f t="shared" ref="X96:X102" si="14">X95+$W$82</f>
        <v>54250</v>
      </c>
      <c r="Y96" s="125">
        <f t="shared" si="4"/>
        <v>22.633414379010524</v>
      </c>
      <c r="Z96" s="131">
        <f t="shared" si="5"/>
        <v>361.67005641773733</v>
      </c>
      <c r="AA96" s="130">
        <f t="shared" si="12"/>
        <v>692454.60464128107</v>
      </c>
      <c r="AB96" s="130">
        <f t="shared" si="13"/>
        <v>8001031.1278722193</v>
      </c>
      <c r="AC96" s="125">
        <f t="shared" si="7"/>
        <v>0.40498775535651743</v>
      </c>
      <c r="AD96" s="125">
        <f t="shared" si="8"/>
        <v>0.54068948200107003</v>
      </c>
      <c r="AE96" s="28">
        <f t="shared" si="9"/>
        <v>0.38171725711340848</v>
      </c>
      <c r="AF96" s="130">
        <f t="shared" si="10"/>
        <v>142120.89966863167</v>
      </c>
      <c r="AG96" s="4">
        <v>19</v>
      </c>
      <c r="AH96" s="2"/>
      <c r="AI96" s="2"/>
      <c r="AJ96" s="2">
        <f t="shared" si="6"/>
        <v>1.4164659101079906</v>
      </c>
    </row>
    <row r="97" spans="1:103" s="27" customFormat="1" x14ac:dyDescent="0.3">
      <c r="L97" s="4"/>
      <c r="M97" s="12"/>
      <c r="N97" s="119"/>
      <c r="O97" s="119"/>
      <c r="P97" s="119"/>
      <c r="Q97" s="119"/>
      <c r="R97" s="119"/>
      <c r="S97" s="119"/>
      <c r="T97" s="119"/>
      <c r="V97" s="2"/>
      <c r="X97" s="130">
        <f t="shared" si="14"/>
        <v>55500</v>
      </c>
      <c r="Y97" s="125">
        <f t="shared" si="4"/>
        <v>22.633414379010524</v>
      </c>
      <c r="Z97" s="131">
        <f t="shared" si="5"/>
        <v>370.00567656507229</v>
      </c>
      <c r="AA97" s="130">
        <f t="shared" si="12"/>
        <v>439912.64871412161</v>
      </c>
      <c r="AB97" s="130">
        <f t="shared" si="13"/>
        <v>6068681.019871546</v>
      </c>
      <c r="AC97" s="125">
        <f t="shared" si="7"/>
        <v>0.4279344128890254</v>
      </c>
      <c r="AD97" s="125">
        <f t="shared" si="8"/>
        <v>0.41970160604867002</v>
      </c>
      <c r="AE97" s="28">
        <f t="shared" si="9"/>
        <v>0.29363804812847405</v>
      </c>
      <c r="AF97" s="130">
        <f t="shared" si="10"/>
        <v>189008.20364981226</v>
      </c>
      <c r="AG97" s="4">
        <v>20</v>
      </c>
      <c r="AH97" s="2"/>
      <c r="AI97" s="2"/>
      <c r="AJ97" s="2">
        <f t="shared" si="6"/>
        <v>1.4293161554630684</v>
      </c>
    </row>
    <row r="98" spans="1:103" s="27" customFormat="1" x14ac:dyDescent="0.3">
      <c r="L98" s="4"/>
      <c r="M98" s="12"/>
      <c r="N98" s="119"/>
      <c r="O98" s="119"/>
      <c r="P98" s="119"/>
      <c r="Q98" s="119"/>
      <c r="R98" s="119"/>
      <c r="S98" s="119"/>
      <c r="T98" s="119"/>
      <c r="V98" s="2"/>
      <c r="X98" s="130">
        <f t="shared" si="14"/>
        <v>56750</v>
      </c>
      <c r="Y98" s="125">
        <f t="shared" si="4"/>
        <v>22.633414379010524</v>
      </c>
      <c r="Z98" s="131">
        <f t="shared" si="5"/>
        <v>378.34273091230654</v>
      </c>
      <c r="AA98" s="130">
        <f t="shared" si="12"/>
        <v>280674.98895634961</v>
      </c>
      <c r="AB98" s="130">
        <f t="shared" si="13"/>
        <v>4384116.9443914471</v>
      </c>
      <c r="AC98" s="125">
        <f t="shared" si="7"/>
        <v>0.44793861128535156</v>
      </c>
      <c r="AD98" s="125">
        <f t="shared" si="8"/>
        <v>0.30984537013924046</v>
      </c>
      <c r="AE98" s="28">
        <f t="shared" si="9"/>
        <v>0.21557752738353184</v>
      </c>
      <c r="AF98" s="130">
        <f t="shared" si="10"/>
        <v>263246.36286896752</v>
      </c>
      <c r="AG98" s="4">
        <v>21</v>
      </c>
      <c r="AH98" s="2"/>
      <c r="AI98" s="2"/>
      <c r="AJ98" s="2">
        <f t="shared" si="6"/>
        <v>1.4372804712060625</v>
      </c>
    </row>
    <row r="99" spans="1:103" s="27" customFormat="1" x14ac:dyDescent="0.3">
      <c r="L99" s="4"/>
      <c r="M99" s="12"/>
      <c r="N99" s="119"/>
      <c r="O99" s="119"/>
      <c r="P99" s="119"/>
      <c r="Q99" s="119"/>
      <c r="R99" s="119"/>
      <c r="S99" s="119"/>
      <c r="T99" s="119"/>
      <c r="V99" s="2"/>
      <c r="X99" s="130">
        <f t="shared" si="14"/>
        <v>58000</v>
      </c>
      <c r="Y99" s="125">
        <f t="shared" si="4"/>
        <v>22.633414379010524</v>
      </c>
      <c r="Z99" s="131">
        <f t="shared" si="5"/>
        <v>386.68205445632441</v>
      </c>
      <c r="AA99" s="130">
        <f t="shared" si="12"/>
        <v>180191.80378702484</v>
      </c>
      <c r="AB99" s="130">
        <f t="shared" si="13"/>
        <v>3050578.1131658163</v>
      </c>
      <c r="AC99" s="125">
        <f t="shared" si="7"/>
        <v>0.46377438490615591</v>
      </c>
      <c r="AD99" s="125">
        <f t="shared" si="8"/>
        <v>0.21956385872205381</v>
      </c>
      <c r="AE99" s="28">
        <f t="shared" si="9"/>
        <v>0.1522613436390545</v>
      </c>
      <c r="AF99" s="130">
        <f t="shared" si="10"/>
        <v>380923.99957728473</v>
      </c>
      <c r="AG99" s="4">
        <v>22</v>
      </c>
      <c r="AH99" s="2"/>
      <c r="AI99" s="2"/>
      <c r="AJ99" s="2">
        <f t="shared" si="6"/>
        <v>1.4420197108108039</v>
      </c>
    </row>
    <row r="100" spans="1:103" s="27" customFormat="1" x14ac:dyDescent="0.3">
      <c r="L100" s="4"/>
      <c r="M100" s="12"/>
      <c r="N100" s="119"/>
      <c r="O100" s="119"/>
      <c r="P100" s="119"/>
      <c r="Q100" s="119"/>
      <c r="R100" s="119"/>
      <c r="S100" s="119"/>
      <c r="T100" s="119"/>
      <c r="V100" s="2"/>
      <c r="X100" s="130">
        <f t="shared" si="14"/>
        <v>59250</v>
      </c>
      <c r="Y100" s="125">
        <f t="shared" si="4"/>
        <v>22.633414379010524</v>
      </c>
      <c r="Z100" s="131">
        <f t="shared" si="5"/>
        <v>395.02493272986266</v>
      </c>
      <c r="AA100" s="130">
        <f t="shared" si="12"/>
        <v>116521.63412105794</v>
      </c>
      <c r="AB100" s="130">
        <f t="shared" si="13"/>
        <v>2069084.3798505887</v>
      </c>
      <c r="AC100" s="125">
        <f t="shared" si="7"/>
        <v>0.47542962298927427</v>
      </c>
      <c r="AD100" s="125">
        <f t="shared" si="8"/>
        <v>0.15102760838894974</v>
      </c>
      <c r="AE100" s="28">
        <f t="shared" si="9"/>
        <v>0.10454051812759588</v>
      </c>
      <c r="AF100" s="130">
        <f t="shared" si="10"/>
        <v>566765.89193563221</v>
      </c>
      <c r="AG100" s="4">
        <v>23</v>
      </c>
      <c r="AH100" s="2"/>
      <c r="AI100" s="2"/>
      <c r="AJ100" s="2">
        <f t="shared" si="6"/>
        <v>1.4446801211049529</v>
      </c>
    </row>
    <row r="101" spans="1:103" s="27" customFormat="1" x14ac:dyDescent="0.3">
      <c r="L101" s="4"/>
      <c r="M101" s="12"/>
      <c r="N101" s="119"/>
      <c r="O101" s="119"/>
      <c r="P101" s="119"/>
      <c r="Q101" s="119"/>
      <c r="R101" s="119"/>
      <c r="S101" s="119"/>
      <c r="T101" s="119"/>
      <c r="V101" s="2"/>
      <c r="X101" s="130">
        <f t="shared" si="14"/>
        <v>60500</v>
      </c>
      <c r="Y101" s="125">
        <f t="shared" si="4"/>
        <v>22.633414379010524</v>
      </c>
      <c r="Z101" s="131">
        <f t="shared" si="5"/>
        <v>403.37332665275375</v>
      </c>
      <c r="AA101" s="130">
        <f t="shared" si="12"/>
        <v>75933.14063946066</v>
      </c>
      <c r="AB101" s="130">
        <f t="shared" si="13"/>
        <v>1382080.9844852858</v>
      </c>
      <c r="AC101" s="125">
        <f t="shared" si="7"/>
        <v>0.48358778830923721</v>
      </c>
      <c r="AD101" s="125">
        <f t="shared" si="8"/>
        <v>0.10191172248822701</v>
      </c>
      <c r="AE101" s="28">
        <f t="shared" si="9"/>
        <v>7.0477603385030757E-2</v>
      </c>
      <c r="AF101" s="130">
        <f t="shared" si="10"/>
        <v>858428.73614016827</v>
      </c>
      <c r="AG101" s="4">
        <v>24</v>
      </c>
      <c r="AJ101" s="2">
        <f t="shared" si="6"/>
        <v>1.4460157212138227</v>
      </c>
    </row>
    <row r="102" spans="1:103" s="27" customFormat="1" x14ac:dyDescent="0.3">
      <c r="L102" s="4"/>
      <c r="M102" s="12"/>
      <c r="N102" s="119"/>
      <c r="O102" s="119"/>
      <c r="P102" s="119"/>
      <c r="Q102" s="119"/>
      <c r="R102" s="119"/>
      <c r="S102" s="119"/>
      <c r="T102" s="119"/>
      <c r="V102" s="2"/>
      <c r="X102" s="130">
        <f t="shared" si="14"/>
        <v>61750</v>
      </c>
      <c r="Y102" s="125">
        <f t="shared" si="4"/>
        <v>22.633414379010524</v>
      </c>
      <c r="Z102" s="131">
        <f t="shared" si="5"/>
        <v>411.73020094438078</v>
      </c>
      <c r="AA102" s="130">
        <f t="shared" si="12"/>
        <v>49875.123886803049</v>
      </c>
      <c r="AB102" s="130">
        <f t="shared" si="13"/>
        <v>916258.39397624636</v>
      </c>
      <c r="AC102" s="125">
        <f t="shared" si="7"/>
        <v>0.48911943157153209</v>
      </c>
      <c r="AD102" s="125">
        <f t="shared" si="8"/>
        <v>6.8040806828496989E-2</v>
      </c>
      <c r="AE102" s="28">
        <f t="shared" si="9"/>
        <v>4.7037899596584817E-2</v>
      </c>
      <c r="AF102" s="130">
        <f t="shared" si="10"/>
        <v>1312771.2021495823</v>
      </c>
      <c r="AG102" s="4">
        <v>25</v>
      </c>
      <c r="AJ102" s="2">
        <f t="shared" si="6"/>
        <v>1.4465103121534169</v>
      </c>
    </row>
    <row r="103" spans="1:103" s="27" customFormat="1" x14ac:dyDescent="0.3">
      <c r="L103" s="4"/>
      <c r="M103" s="12"/>
      <c r="N103" s="119"/>
      <c r="O103" s="119"/>
      <c r="P103" s="119"/>
      <c r="Q103" s="119"/>
      <c r="R103" s="119"/>
      <c r="S103" s="119"/>
      <c r="T103" s="119"/>
      <c r="V103" s="2"/>
      <c r="X103" s="130">
        <f>MIN(D70:D71)</f>
        <v>63000</v>
      </c>
      <c r="Y103" s="125">
        <f t="shared" si="4"/>
        <v>22.633414379010524</v>
      </c>
      <c r="Z103" s="131">
        <f t="shared" si="5"/>
        <v>420.1</v>
      </c>
      <c r="AA103" s="130">
        <f t="shared" si="12"/>
        <v>33018.549641587859</v>
      </c>
      <c r="AB103" s="130">
        <f t="shared" si="13"/>
        <v>606133.49368610955</v>
      </c>
      <c r="AC103" s="125">
        <f t="shared" si="7"/>
        <v>0.49280216476247746</v>
      </c>
      <c r="AD103" s="125">
        <f t="shared" si="8"/>
        <v>4.5226089637554631E-2</v>
      </c>
      <c r="AE103" s="28">
        <f t="shared" si="9"/>
        <v>3.126650825166425E-2</v>
      </c>
      <c r="AF103" s="130">
        <f t="shared" si="10"/>
        <v>2014935.5819624227</v>
      </c>
      <c r="AG103" s="4">
        <v>26</v>
      </c>
      <c r="AJ103" s="2">
        <f t="shared" si="6"/>
        <v>1.4464707499004894</v>
      </c>
    </row>
    <row r="104" spans="1:103" s="27" customFormat="1" x14ac:dyDescent="0.3">
      <c r="L104" s="4"/>
      <c r="M104" s="12"/>
      <c r="N104" s="119"/>
      <c r="O104" s="119"/>
      <c r="P104" s="119"/>
      <c r="Q104" s="119"/>
      <c r="R104" s="119"/>
      <c r="S104" s="119"/>
      <c r="T104" s="119"/>
      <c r="V104" s="2"/>
      <c r="AB104" s="2"/>
      <c r="AC104" s="21"/>
      <c r="AG104" s="4"/>
    </row>
    <row r="105" spans="1:103" s="27" customFormat="1" x14ac:dyDescent="0.3">
      <c r="L105" s="4"/>
      <c r="M105" s="12"/>
      <c r="N105" s="119"/>
      <c r="O105" s="119"/>
      <c r="P105" s="119"/>
      <c r="Q105" s="119"/>
      <c r="R105" s="119"/>
      <c r="S105" s="119"/>
      <c r="T105" s="119"/>
      <c r="V105" s="2"/>
      <c r="AG105" s="4"/>
    </row>
    <row r="106" spans="1:103" s="27" customFormat="1" x14ac:dyDescent="0.3">
      <c r="A106" s="83"/>
      <c r="B106" s="139" t="s">
        <v>112</v>
      </c>
      <c r="C106" s="83"/>
      <c r="D106" s="93"/>
      <c r="E106" s="83"/>
      <c r="F106" s="83"/>
      <c r="G106" s="43"/>
      <c r="H106" s="43"/>
      <c r="I106" s="43"/>
      <c r="J106" s="83"/>
      <c r="K106" s="83"/>
      <c r="L106" s="4"/>
      <c r="M106" s="12"/>
      <c r="N106" s="119"/>
      <c r="O106" s="119"/>
      <c r="P106" s="119"/>
      <c r="Q106" s="119"/>
      <c r="R106" s="119"/>
      <c r="S106" s="119"/>
      <c r="T106" s="119"/>
      <c r="V106" s="2"/>
      <c r="AG106" s="4"/>
    </row>
    <row r="107" spans="1:103" s="27" customFormat="1" ht="15" x14ac:dyDescent="0.35">
      <c r="A107" s="83"/>
      <c r="B107" s="84"/>
      <c r="C107" s="14" t="s">
        <v>59</v>
      </c>
      <c r="D107" s="140">
        <f>AI84</f>
        <v>55073.157223545495</v>
      </c>
      <c r="E107" s="83"/>
      <c r="F107" s="83"/>
      <c r="G107" s="43"/>
      <c r="H107" s="43"/>
      <c r="I107" s="43"/>
      <c r="J107" s="83"/>
      <c r="K107" s="83"/>
      <c r="L107" s="4"/>
      <c r="M107" s="12"/>
      <c r="N107" s="119"/>
      <c r="O107" s="119"/>
      <c r="P107" s="119"/>
      <c r="Q107" s="119"/>
      <c r="R107" s="119"/>
      <c r="S107" s="119"/>
      <c r="T107" s="119"/>
      <c r="V107" s="2"/>
      <c r="AG107" s="4"/>
    </row>
    <row r="108" spans="1:103" s="27" customFormat="1" x14ac:dyDescent="0.3">
      <c r="A108" s="83"/>
      <c r="B108" s="84"/>
      <c r="C108" s="43"/>
      <c r="D108" s="43"/>
      <c r="E108" s="43"/>
      <c r="F108" s="83"/>
      <c r="G108" s="43"/>
      <c r="H108" s="43"/>
      <c r="I108" s="1"/>
      <c r="J108" s="34" t="str">
        <f>"M.S. = "&amp;[1]!xln(K108)&amp;" ="</f>
        <v>M.S. = 55073 / 3500 - 1 =</v>
      </c>
      <c r="K108" s="25">
        <f>D107/G19-1</f>
        <v>14.735187778155856</v>
      </c>
      <c r="L108" s="4"/>
      <c r="M108" s="12"/>
      <c r="N108" s="119"/>
      <c r="O108" s="119"/>
      <c r="P108" s="119"/>
      <c r="Q108" s="119"/>
      <c r="R108" s="119"/>
      <c r="S108" s="119"/>
      <c r="T108" s="119"/>
      <c r="V108" s="2"/>
      <c r="AK108" s="21"/>
    </row>
    <row r="109" spans="1:103" s="27" customFormat="1" x14ac:dyDescent="0.3">
      <c r="L109" s="4"/>
      <c r="M109" s="12"/>
      <c r="N109" s="119"/>
      <c r="O109" s="119"/>
      <c r="P109" s="119"/>
      <c r="Q109" s="119"/>
      <c r="R109" s="119"/>
      <c r="S109" s="119"/>
      <c r="T109" s="119"/>
      <c r="V109" s="2"/>
      <c r="AB109" s="2"/>
      <c r="AC109" s="21"/>
      <c r="AK109" s="21"/>
    </row>
    <row r="110" spans="1:103" s="27" customFormat="1" x14ac:dyDescent="0.3">
      <c r="L110" s="4"/>
      <c r="M110" s="12"/>
      <c r="N110" s="119"/>
      <c r="O110" s="119"/>
      <c r="P110" s="119"/>
      <c r="Q110" s="119"/>
      <c r="R110" s="119"/>
      <c r="S110" s="119"/>
      <c r="T110" s="119"/>
      <c r="U110" s="26"/>
      <c r="V110" s="11"/>
      <c r="AB110" s="2"/>
      <c r="AC110" s="21"/>
      <c r="AK110" s="123"/>
      <c r="AL110" s="26"/>
      <c r="AM110" s="26"/>
      <c r="AN110" s="26"/>
      <c r="AO110" s="26"/>
      <c r="AP110" s="26"/>
      <c r="AQ110" s="26"/>
    </row>
    <row r="111" spans="1:103" x14ac:dyDescent="0.3">
      <c r="B111" s="14"/>
      <c r="C111" s="76"/>
      <c r="D111" s="11"/>
      <c r="E111" s="11"/>
      <c r="F111" s="11"/>
      <c r="V111" s="74"/>
      <c r="Y111" s="8"/>
      <c r="Z111" s="70"/>
      <c r="AF111" s="74"/>
      <c r="AG111" s="74"/>
      <c r="AH111" s="74"/>
      <c r="AI111" s="74"/>
      <c r="AJ111" s="74"/>
      <c r="AK111" s="74"/>
      <c r="AL111" s="74"/>
      <c r="AM111" s="74"/>
      <c r="AO111" s="96"/>
      <c r="AP111" s="2"/>
      <c r="AQ111" s="9"/>
      <c r="AT111" s="74"/>
      <c r="AU111" s="74"/>
      <c r="AV111" s="74"/>
      <c r="AW111" s="74"/>
      <c r="AX111" s="74"/>
      <c r="AY111" s="74"/>
      <c r="AZ111" s="74"/>
      <c r="BA111" s="74"/>
      <c r="BB111" s="74"/>
      <c r="BC111" s="70"/>
      <c r="BE111" s="9"/>
      <c r="BF111" s="74"/>
      <c r="BG111" s="74"/>
      <c r="BH111" s="74"/>
      <c r="BI111" s="74"/>
      <c r="BJ111" s="74"/>
      <c r="BK111" s="74"/>
      <c r="BL111" s="74"/>
      <c r="BM111" s="74"/>
      <c r="BN111" s="74"/>
      <c r="BO111" s="70"/>
      <c r="BQ111" s="9"/>
      <c r="BR111" s="74"/>
      <c r="BS111" s="74"/>
      <c r="BT111" s="74"/>
      <c r="BU111" s="74"/>
      <c r="BV111" s="74"/>
      <c r="BW111" s="74"/>
      <c r="BX111" s="74"/>
      <c r="BY111" s="74"/>
      <c r="BZ111" s="74"/>
      <c r="CA111" s="70"/>
      <c r="CC111" s="9"/>
      <c r="CD111" s="74"/>
      <c r="CE111" s="74"/>
      <c r="CF111" s="74"/>
      <c r="CG111" s="74"/>
      <c r="CH111" s="74"/>
      <c r="CI111" s="74"/>
      <c r="CJ111" s="74"/>
      <c r="CK111" s="74"/>
      <c r="CL111" s="74"/>
      <c r="CM111" s="70"/>
      <c r="CO111" s="9"/>
      <c r="CP111" s="74"/>
      <c r="CQ111" s="74"/>
      <c r="CR111" s="74"/>
      <c r="CS111" s="74"/>
      <c r="CT111" s="74"/>
      <c r="CU111" s="74"/>
      <c r="CV111" s="74"/>
      <c r="CW111" s="74"/>
      <c r="CX111" s="74"/>
      <c r="CY111" s="70"/>
    </row>
    <row r="112" spans="1:103" s="4" customFormat="1" x14ac:dyDescent="0.3">
      <c r="A112" s="32"/>
      <c r="B112" s="3"/>
      <c r="C112" s="37"/>
      <c r="D112" s="33"/>
      <c r="E112" s="33"/>
      <c r="F112" s="38" t="s">
        <v>43</v>
      </c>
      <c r="G112" s="37"/>
      <c r="H112" s="33"/>
      <c r="I112" s="33"/>
      <c r="J112" s="33"/>
      <c r="K112" s="32"/>
      <c r="M112" s="12"/>
      <c r="N112" s="12"/>
      <c r="O112" s="12"/>
      <c r="P112" s="35"/>
      <c r="Q112" s="12"/>
      <c r="R112" s="12"/>
      <c r="S112" s="12"/>
      <c r="T112" s="12"/>
      <c r="W112" s="2"/>
      <c r="X112" s="2"/>
      <c r="Y112" s="8"/>
      <c r="Z112" s="70"/>
      <c r="AA112" s="2"/>
      <c r="AF112" s="74"/>
      <c r="AG112" s="74"/>
      <c r="AH112" s="74"/>
      <c r="AI112" s="74"/>
      <c r="AJ112" s="74"/>
      <c r="AK112" s="74"/>
      <c r="AL112" s="74"/>
      <c r="AM112" s="74"/>
      <c r="AO112" s="96"/>
      <c r="AQ112" s="9"/>
      <c r="AT112" s="74"/>
      <c r="AU112" s="74"/>
      <c r="AV112" s="74"/>
      <c r="AW112" s="74"/>
      <c r="AX112" s="74"/>
      <c r="AY112" s="74"/>
      <c r="AZ112" s="74"/>
      <c r="BA112" s="74"/>
      <c r="BB112" s="74"/>
      <c r="BC112" s="70"/>
      <c r="BE112" s="9"/>
      <c r="BF112" s="74"/>
      <c r="BG112" s="74"/>
      <c r="BH112" s="74"/>
      <c r="BI112" s="74"/>
      <c r="BJ112" s="74"/>
      <c r="BK112" s="74"/>
      <c r="BL112" s="74"/>
      <c r="BM112" s="74"/>
      <c r="BN112" s="74"/>
      <c r="BO112" s="70"/>
      <c r="BQ112" s="9"/>
      <c r="BR112" s="74"/>
      <c r="BS112" s="74"/>
      <c r="BT112" s="74"/>
      <c r="BU112" s="74"/>
      <c r="BV112" s="74"/>
      <c r="BW112" s="74"/>
      <c r="BX112" s="74"/>
      <c r="BY112" s="74"/>
      <c r="BZ112" s="74"/>
      <c r="CA112" s="70"/>
      <c r="CC112" s="9"/>
      <c r="CD112" s="74"/>
      <c r="CE112" s="74"/>
      <c r="CF112" s="74"/>
      <c r="CG112" s="74"/>
      <c r="CH112" s="74"/>
      <c r="CI112" s="74"/>
      <c r="CJ112" s="74"/>
      <c r="CK112" s="74"/>
      <c r="CL112" s="74"/>
      <c r="CM112" s="70"/>
      <c r="CO112" s="9"/>
      <c r="CP112" s="74"/>
      <c r="CQ112" s="74"/>
      <c r="CR112" s="74"/>
      <c r="CS112" s="74"/>
      <c r="CT112" s="74"/>
      <c r="CU112" s="74"/>
      <c r="CV112" s="74"/>
      <c r="CW112" s="74"/>
      <c r="CX112" s="74"/>
      <c r="CY112" s="70"/>
    </row>
    <row r="113" spans="1:103" s="4" customFormat="1" x14ac:dyDescent="0.3">
      <c r="A113" s="32"/>
      <c r="B113" s="33"/>
      <c r="C113" s="33"/>
      <c r="D113" s="33"/>
      <c r="E113" s="33"/>
      <c r="F113" s="69" t="s">
        <v>68</v>
      </c>
      <c r="G113" s="33"/>
      <c r="H113" s="33"/>
      <c r="I113" s="33"/>
      <c r="J113" s="33"/>
      <c r="K113" s="32"/>
      <c r="M113" s="12"/>
      <c r="N113" s="12"/>
      <c r="O113" s="12"/>
      <c r="P113" s="35"/>
      <c r="Q113" s="12"/>
      <c r="R113" s="12"/>
      <c r="S113" s="12"/>
      <c r="T113" s="12"/>
      <c r="W113" s="2"/>
      <c r="X113" s="2"/>
      <c r="AF113" s="74"/>
      <c r="AG113" s="74"/>
      <c r="AH113" s="74"/>
      <c r="AI113" s="74"/>
      <c r="AJ113" s="74"/>
      <c r="AK113" s="74"/>
      <c r="AL113" s="74"/>
      <c r="AM113" s="74"/>
      <c r="AO113" s="96"/>
      <c r="AQ113" s="9"/>
      <c r="AT113" s="74"/>
      <c r="AU113" s="74"/>
      <c r="AV113" s="74"/>
      <c r="AW113" s="74"/>
      <c r="AX113" s="74"/>
      <c r="AY113" s="74"/>
      <c r="AZ113" s="74"/>
      <c r="BA113" s="74"/>
      <c r="BB113" s="74"/>
      <c r="BC113" s="70"/>
      <c r="BE113" s="9"/>
      <c r="BF113" s="74"/>
      <c r="BG113" s="74"/>
      <c r="BH113" s="74"/>
      <c r="BI113" s="74"/>
      <c r="BJ113" s="74"/>
      <c r="BK113" s="74"/>
      <c r="BL113" s="74"/>
      <c r="BM113" s="74"/>
      <c r="BN113" s="74"/>
      <c r="BO113" s="70"/>
      <c r="BQ113" s="9"/>
      <c r="BR113" s="74"/>
      <c r="BS113" s="74"/>
      <c r="BT113" s="74"/>
      <c r="BU113" s="74"/>
      <c r="BV113" s="74"/>
      <c r="BW113" s="74"/>
      <c r="BX113" s="74"/>
      <c r="BY113" s="74"/>
      <c r="BZ113" s="74"/>
      <c r="CA113" s="70"/>
      <c r="CC113" s="9"/>
      <c r="CD113" s="74"/>
      <c r="CE113" s="74"/>
      <c r="CF113" s="74"/>
      <c r="CG113" s="74"/>
      <c r="CH113" s="74"/>
      <c r="CI113" s="74"/>
      <c r="CJ113" s="74"/>
      <c r="CK113" s="74"/>
      <c r="CL113" s="74"/>
      <c r="CM113" s="70"/>
      <c r="CO113" s="9"/>
      <c r="CP113" s="74"/>
      <c r="CQ113" s="74"/>
      <c r="CR113" s="74"/>
      <c r="CS113" s="74"/>
      <c r="CT113" s="74"/>
      <c r="CU113" s="74"/>
      <c r="CV113" s="74"/>
      <c r="CW113" s="74"/>
      <c r="CX113" s="74"/>
      <c r="CY113" s="70"/>
    </row>
  </sheetData>
  <mergeCells count="9">
    <mergeCell ref="G74:J75"/>
    <mergeCell ref="AD74:AE74"/>
    <mergeCell ref="AD75:AE75"/>
    <mergeCell ref="B79:J80"/>
    <mergeCell ref="B13:C13"/>
    <mergeCell ref="B14:D14"/>
    <mergeCell ref="B66:C66"/>
    <mergeCell ref="B67:D67"/>
    <mergeCell ref="AD73:AE73"/>
  </mergeCells>
  <hyperlinks>
    <hyperlink ref="F60" r:id="rId1"/>
    <hyperlink ref="F113" r:id="rId2"/>
    <hyperlink ref="B13" r:id="rId3"/>
    <hyperlink ref="B14" r:id="rId4" display="(NACA-REPORT-734, 1942)"/>
    <hyperlink ref="B66" r:id="rId5"/>
    <hyperlink ref="B67" r:id="rId6" display="(NACA-REPORT-734, 1942)"/>
  </hyperlinks>
  <pageMargins left="0.47244094488188981" right="0.23622047244094491" top="0.31496062992125984" bottom="0.98425196850393704" header="0.43307086614173229" footer="0.59055118110236227"/>
  <pageSetup orientation="portrait" r:id="rId7"/>
  <headerFooter alignWithMargins="0"/>
  <drawing r:id="rId8"/>
  <legacyDrawing r:id="rId9"/>
  <oleObjects>
    <mc:AlternateContent xmlns:mc="http://schemas.openxmlformats.org/markup-compatibility/2006">
      <mc:Choice Requires="x14">
        <oleObject progId="Equation.3" shapeId="154625" r:id="rId10">
          <objectPr defaultSize="0" r:id="rId11">
            <anchor moveWithCells="1">
              <from>
                <xdr:col>5</xdr:col>
                <xdr:colOff>76200</xdr:colOff>
                <xdr:row>60</xdr:row>
                <xdr:rowOff>0</xdr:rowOff>
              </from>
              <to>
                <xdr:col>5</xdr:col>
                <xdr:colOff>99060</xdr:colOff>
                <xdr:row>60</xdr:row>
                <xdr:rowOff>0</xdr:rowOff>
              </to>
            </anchor>
          </objectPr>
        </oleObject>
      </mc:Choice>
      <mc:Fallback>
        <oleObject progId="Equation.3" shapeId="154625" r:id="rId10"/>
      </mc:Fallback>
    </mc:AlternateContent>
    <mc:AlternateContent xmlns:mc="http://schemas.openxmlformats.org/markup-compatibility/2006">
      <mc:Choice Requires="x14">
        <oleObject progId="Equation.3" shapeId="154626" r:id="rId12">
          <objectPr defaultSize="0" r:id="rId11">
            <anchor moveWithCells="1">
              <from>
                <xdr:col>5</xdr:col>
                <xdr:colOff>76200</xdr:colOff>
                <xdr:row>30</xdr:row>
                <xdr:rowOff>152400</xdr:rowOff>
              </from>
              <to>
                <xdr:col>5</xdr:col>
                <xdr:colOff>99060</xdr:colOff>
                <xdr:row>30</xdr:row>
                <xdr:rowOff>152400</xdr:rowOff>
              </to>
            </anchor>
          </objectPr>
        </oleObject>
      </mc:Choice>
      <mc:Fallback>
        <oleObject progId="Equation.3" shapeId="154626" r:id="rId12"/>
      </mc:Fallback>
    </mc:AlternateContent>
    <mc:AlternateContent xmlns:mc="http://schemas.openxmlformats.org/markup-compatibility/2006">
      <mc:Choice Requires="x14">
        <oleObject progId="Equation.3" shapeId="154628" r:id="rId13">
          <objectPr defaultSize="0" r:id="rId11">
            <anchor moveWithCells="1">
              <from>
                <xdr:col>5</xdr:col>
                <xdr:colOff>76200</xdr:colOff>
                <xdr:row>60</xdr:row>
                <xdr:rowOff>0</xdr:rowOff>
              </from>
              <to>
                <xdr:col>5</xdr:col>
                <xdr:colOff>99060</xdr:colOff>
                <xdr:row>60</xdr:row>
                <xdr:rowOff>0</xdr:rowOff>
              </to>
            </anchor>
          </objectPr>
        </oleObject>
      </mc:Choice>
      <mc:Fallback>
        <oleObject progId="Equation.3" shapeId="154628" r:id="rId13"/>
      </mc:Fallback>
    </mc:AlternateContent>
    <mc:AlternateContent xmlns:mc="http://schemas.openxmlformats.org/markup-compatibility/2006">
      <mc:Choice Requires="x14">
        <oleObject progId="Equation.3" shapeId="154629" r:id="rId14">
          <objectPr defaultSize="0" r:id="rId11">
            <anchor moveWithCells="1">
              <from>
                <xdr:col>5</xdr:col>
                <xdr:colOff>76200</xdr:colOff>
                <xdr:row>84</xdr:row>
                <xdr:rowOff>152400</xdr:rowOff>
              </from>
              <to>
                <xdr:col>5</xdr:col>
                <xdr:colOff>99060</xdr:colOff>
                <xdr:row>84</xdr:row>
                <xdr:rowOff>152400</xdr:rowOff>
              </to>
            </anchor>
          </objectPr>
        </oleObject>
      </mc:Choice>
      <mc:Fallback>
        <oleObject progId="Equation.3" shapeId="154629" r:id="rId1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SIMPLE</vt:lpstr>
      <vt:lpstr>'READ ME'!Print_Area</vt:lpstr>
      <vt:lpstr>SIMPLE!Print_Area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2009-04-23T11:09:15Z</cp:lastPrinted>
  <dcterms:created xsi:type="dcterms:W3CDTF">2005-06-02T14:51:17Z</dcterms:created>
  <dcterms:modified xsi:type="dcterms:W3CDTF">2016-06-13T03:10:04Z</dcterms:modified>
  <cp:category>Engineering Spreadsheets;Analysis;AA-SM</cp:category>
  <cp:contentStatus>Released</cp:contentStatus>
</cp:coreProperties>
</file>