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9984" windowHeight="7932" tabRatio="871" activeTab="1"/>
  </bookViews>
  <sheets>
    <sheet name="READ ME" sheetId="36" r:id="rId1"/>
    <sheet name="Analysis" sheetId="31" r:id="rId2"/>
  </sheets>
  <externalReferences>
    <externalReference r:id="rId3"/>
  </externalReferences>
  <definedNames>
    <definedName name="_xlnm.Print_Area" localSheetId="1">Analysis!$A$8:$K$114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35" i="31" l="1"/>
  <c r="AG52" i="31"/>
  <c r="C59" i="31" s="1"/>
  <c r="W73" i="31"/>
  <c r="X73" i="31"/>
  <c r="Z73" i="31" s="1"/>
  <c r="Y73" i="31"/>
  <c r="W74" i="31"/>
  <c r="X74" i="31"/>
  <c r="AC30" i="31" s="1"/>
  <c r="AL30" i="31" s="1"/>
  <c r="W75" i="31"/>
  <c r="X75" i="31"/>
  <c r="V43" i="31"/>
  <c r="Y74" i="31" s="1"/>
  <c r="V44" i="31"/>
  <c r="Y75" i="31" s="1"/>
  <c r="AG50" i="31"/>
  <c r="AG51" i="31"/>
  <c r="Z74" i="31" l="1"/>
  <c r="Z75" i="31"/>
  <c r="Z29" i="31"/>
  <c r="AP29" i="31"/>
  <c r="AP30" i="31" s="1"/>
  <c r="W29" i="31"/>
  <c r="AA29" i="31" s="1"/>
  <c r="AQ28" i="31"/>
  <c r="AQ29" i="31" s="1"/>
  <c r="Z30" i="31"/>
  <c r="AI30" i="31" s="1"/>
  <c r="AC29" i="31"/>
  <c r="AP27" i="31"/>
  <c r="AP31" i="31" s="1"/>
  <c r="AN27" i="31"/>
  <c r="AN31" i="31" s="1"/>
  <c r="AN28" i="31"/>
  <c r="AN29" i="31" s="1"/>
  <c r="W30" i="31"/>
  <c r="AF30" i="31" s="1"/>
  <c r="AM27" i="31"/>
  <c r="AN30" i="31" l="1"/>
  <c r="AC31" i="31"/>
  <c r="AL31" i="31" s="1"/>
  <c r="AQ27" i="31"/>
  <c r="Y30" i="31"/>
  <c r="AM29" i="31"/>
  <c r="AM30" i="31" s="1"/>
  <c r="AP28" i="31"/>
  <c r="X30" i="31"/>
  <c r="Z31" i="31"/>
  <c r="AI31" i="31" s="1"/>
  <c r="AS27" i="31"/>
  <c r="AS28" i="31" s="1"/>
  <c r="W31" i="31"/>
  <c r="AS29" i="31"/>
  <c r="AS30" i="31" s="1"/>
  <c r="AB29" i="31"/>
  <c r="X29" i="31"/>
  <c r="Y29" i="31"/>
  <c r="AF29" i="31"/>
  <c r="AT28" i="31"/>
  <c r="AT29" i="31" s="1"/>
  <c r="AI29" i="31"/>
  <c r="AM31" i="31"/>
  <c r="AM28" i="31"/>
  <c r="AL29" i="31"/>
  <c r="AA30" i="31"/>
  <c r="AB30" i="31"/>
  <c r="AI39" i="31" l="1"/>
  <c r="AL39" i="31"/>
  <c r="AC39" i="31"/>
  <c r="Z39" i="31"/>
  <c r="AQ31" i="31"/>
  <c r="AQ30" i="31"/>
  <c r="X57" i="31"/>
  <c r="AP45" i="31"/>
  <c r="AF31" i="31"/>
  <c r="AF39" i="31" s="1"/>
  <c r="X31" i="31"/>
  <c r="X39" i="31" s="1"/>
  <c r="Y31" i="31"/>
  <c r="Y39" i="31" s="1"/>
  <c r="AA31" i="31"/>
  <c r="AA39" i="31" s="1"/>
  <c r="AB31" i="31"/>
  <c r="AB39" i="31" s="1"/>
  <c r="AS31" i="31"/>
  <c r="AP44" i="31" s="1"/>
  <c r="W39" i="31"/>
  <c r="X51" i="31" s="1"/>
  <c r="AT27" i="31"/>
  <c r="AC44" i="31" l="1"/>
  <c r="AE44" i="31"/>
  <c r="AB44" i="31"/>
  <c r="AC46" i="31"/>
  <c r="AN44" i="31" s="1"/>
  <c r="AT31" i="31"/>
  <c r="AT30" i="31"/>
  <c r="AM44" i="31" s="1"/>
  <c r="AD44" i="31"/>
  <c r="AQ44" i="31"/>
  <c r="AQ45" i="31" s="1"/>
  <c r="AM45" i="31" l="1"/>
  <c r="AN45" i="31"/>
  <c r="X52" i="31"/>
  <c r="X53" i="31" s="1"/>
  <c r="X56" i="31"/>
  <c r="X55" i="31"/>
  <c r="AH31" i="31"/>
  <c r="AG30" i="31"/>
  <c r="AH30" i="31"/>
  <c r="AG31" i="31"/>
  <c r="AH29" i="31"/>
  <c r="AG29" i="31"/>
  <c r="AJ29" i="31"/>
  <c r="AK29" i="31"/>
  <c r="AJ30" i="31"/>
  <c r="AK30" i="31"/>
  <c r="AK31" i="31"/>
  <c r="AJ31" i="31"/>
  <c r="C58" i="31"/>
  <c r="C54" i="31"/>
  <c r="C50" i="31"/>
  <c r="C48" i="31"/>
  <c r="C49" i="31"/>
  <c r="C47" i="31"/>
  <c r="C57" i="31"/>
  <c r="C53" i="31"/>
  <c r="C56" i="31" l="1"/>
  <c r="V93" i="31" s="1"/>
  <c r="V90" i="31"/>
  <c r="C96" i="31" s="1"/>
  <c r="V88" i="31"/>
  <c r="X54" i="31"/>
  <c r="AG39" i="31"/>
  <c r="AH39" i="31"/>
  <c r="AD52" i="31" s="1"/>
  <c r="AK39" i="31"/>
  <c r="AD51" i="31" s="1"/>
  <c r="AA52" i="31" s="1"/>
  <c r="AJ39" i="31"/>
  <c r="C55" i="31"/>
  <c r="AA51" i="31"/>
  <c r="AA54" i="31" l="1"/>
  <c r="AD53" i="31"/>
  <c r="C44" i="31" s="1"/>
  <c r="C101" i="31" s="1"/>
  <c r="C100" i="31"/>
  <c r="AA53" i="31"/>
  <c r="C31" i="31" l="1"/>
  <c r="C30" i="31"/>
  <c r="B67" i="31" l="1"/>
  <c r="F66" i="31"/>
  <c r="L65" i="31"/>
  <c r="F65" i="31"/>
  <c r="J64" i="31"/>
  <c r="F64" i="31"/>
  <c r="J63" i="31"/>
  <c r="F63" i="31"/>
  <c r="B12" i="31" l="1"/>
  <c r="C12" i="36"/>
  <c r="F11" i="31" l="1"/>
  <c r="L10" i="31"/>
  <c r="F10" i="31"/>
  <c r="J9" i="31"/>
  <c r="F9" i="31"/>
  <c r="J8" i="31"/>
  <c r="F8" i="31"/>
  <c r="X7" i="31"/>
  <c r="X6" i="31"/>
  <c r="X5" i="31"/>
  <c r="X4" i="31"/>
  <c r="X3" i="31"/>
  <c r="X2" i="31"/>
  <c r="X1" i="31"/>
  <c r="G1" i="31" s="1"/>
  <c r="J10" i="31" l="1"/>
  <c r="J65" i="31"/>
</calcChain>
</file>

<file path=xl/sharedStrings.xml><?xml version="1.0" encoding="utf-8"?>
<sst xmlns="http://schemas.openxmlformats.org/spreadsheetml/2006/main" count="241" uniqueCount="156">
  <si>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</si>
  <si>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</si>
  <si>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</si>
  <si>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</si>
  <si>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</si>
  <si>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</si>
  <si>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</si>
  <si>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</si>
  <si>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</si>
  <si>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</si>
  <si>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</si>
  <si>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</si>
  <si>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</si>
  <si>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</si>
  <si>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</si>
  <si>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</si>
  <si>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</si>
  <si>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</si>
  <si>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</si>
  <si>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</si>
  <si>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</si>
  <si>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</si>
  <si>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</si>
  <si>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</si>
  <si>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</si>
  <si>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</si>
  <si>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</si>
  <si>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</si>
  <si>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</si>
  <si>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</si>
  <si>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</si>
  <si>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</si>
  <si>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</si>
  <si>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</si>
  <si>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</si>
  <si>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</si>
  <si>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</si>
  <si>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</si>
  <si>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</si>
  <si>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</si>
  <si>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</si>
  <si>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</si>
  <si>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</si>
  <si>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</si>
  <si>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</si>
  <si>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</si>
  <si>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</si>
  <si>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</si>
  <si>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</si>
  <si>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</si>
  <si>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BUCKLING EDGE ROTATIONAL RESTRAINT</t>
  </si>
  <si>
    <t>(NACA-REPORT-735, 1942)</t>
  </si>
  <si>
    <t>Where:</t>
  </si>
  <si>
    <t>Flexural rigidity per unit length of plate</t>
  </si>
  <si>
    <t>Panel edge rotational restraint coefficient</t>
  </si>
  <si>
    <t>Poissons Ratio</t>
  </si>
  <si>
    <r>
      <t>C</t>
    </r>
    <r>
      <rPr>
        <i/>
        <vertAlign val="subscript"/>
        <sz val="10"/>
        <color theme="1"/>
        <rFont val="Calibri"/>
        <family val="2"/>
        <scheme val="minor"/>
      </rPr>
      <t>BT</t>
    </r>
  </si>
  <si>
    <t>ε =</t>
  </si>
  <si>
    <t>S₀ =</t>
  </si>
  <si>
    <t>b =</t>
  </si>
  <si>
    <t>D =</t>
  </si>
  <si>
    <r>
      <t>E</t>
    </r>
    <r>
      <rPr>
        <i/>
        <vertAlign val="subscript"/>
        <sz val="10"/>
        <color theme="1"/>
        <rFont val="Calibri"/>
        <family val="2"/>
        <scheme val="minor"/>
      </rPr>
      <t>p</t>
    </r>
    <r>
      <rPr>
        <i/>
        <sz val="10"/>
        <color theme="1"/>
        <rFont val="Calibri"/>
        <family val="2"/>
        <scheme val="minor"/>
      </rPr>
      <t xml:space="preserve"> =</t>
    </r>
  </si>
  <si>
    <r>
      <t>E</t>
    </r>
    <r>
      <rPr>
        <i/>
        <vertAlign val="subscript"/>
        <sz val="10"/>
        <color theme="1"/>
        <rFont val="Calibri"/>
        <family val="2"/>
        <scheme val="minor"/>
      </rPr>
      <t>s</t>
    </r>
    <r>
      <rPr>
        <i/>
        <sz val="10"/>
        <color theme="1"/>
        <rFont val="Calibri"/>
        <family val="2"/>
        <scheme val="minor"/>
      </rPr>
      <t xml:space="preserve"> =</t>
    </r>
  </si>
  <si>
    <t>t =</t>
  </si>
  <si>
    <t>μ =</t>
  </si>
  <si>
    <t>λ =</t>
  </si>
  <si>
    <t>f =</t>
  </si>
  <si>
    <r>
      <t>I</t>
    </r>
    <r>
      <rPr>
        <i/>
        <vertAlign val="subscript"/>
        <sz val="10"/>
        <color theme="1"/>
        <rFont val="Calibri"/>
        <family val="2"/>
        <scheme val="minor"/>
      </rPr>
      <t>p</t>
    </r>
    <r>
      <rPr>
        <i/>
        <sz val="10"/>
        <color theme="1"/>
        <rFont val="Calibri"/>
        <family val="2"/>
        <scheme val="minor"/>
      </rPr>
      <t xml:space="preserve"> =</t>
    </r>
  </si>
  <si>
    <t>in, Width of plate being restrained</t>
  </si>
  <si>
    <t>psi, Youngs modulus of plate material</t>
  </si>
  <si>
    <t>psi, Youngs modulus of stiffener material</t>
  </si>
  <si>
    <t>in, Thickness of plate</t>
  </si>
  <si>
    <t>psi, uniformally distributed compressive stress in the stiffener</t>
  </si>
  <si>
    <t>(NACA-TN-888, 1943)</t>
  </si>
  <si>
    <t>I-Beam</t>
  </si>
  <si>
    <t>Channel</t>
  </si>
  <si>
    <t>Z-Section</t>
  </si>
  <si>
    <t>The panel edge rotational restraint coefficient is given by the following expression:</t>
  </si>
  <si>
    <t>and:</t>
  </si>
  <si>
    <t>Substiuting these expression into the first expression gives the following:</t>
  </si>
  <si>
    <t>Torsion-Bending constant of stiffener sectional area about axis of rotation at or near edge of plate, this is given by the following expressions for difference cross sections</t>
  </si>
  <si>
    <t>h =</t>
  </si>
  <si>
    <r>
      <t>t</t>
    </r>
    <r>
      <rPr>
        <i/>
        <vertAlign val="subscript"/>
        <sz val="10"/>
        <color theme="1"/>
        <rFont val="Calibri"/>
        <family val="2"/>
        <scheme val="minor"/>
      </rPr>
      <t>W</t>
    </r>
    <r>
      <rPr>
        <i/>
        <sz val="10"/>
        <color theme="1"/>
        <rFont val="Calibri"/>
        <family val="2"/>
        <scheme val="minor"/>
      </rPr>
      <t xml:space="preserve"> =</t>
    </r>
  </si>
  <si>
    <r>
      <t>t</t>
    </r>
    <r>
      <rPr>
        <i/>
        <vertAlign val="subscript"/>
        <sz val="10"/>
        <color theme="1"/>
        <rFont val="Calibri"/>
        <family val="2"/>
        <scheme val="minor"/>
      </rPr>
      <t>F</t>
    </r>
    <r>
      <rPr>
        <i/>
        <sz val="10"/>
        <color theme="1"/>
        <rFont val="Calibri"/>
        <family val="2"/>
        <scheme val="minor"/>
      </rPr>
      <t xml:space="preserve"> =</t>
    </r>
  </si>
  <si>
    <r>
      <t>I</t>
    </r>
    <r>
      <rPr>
        <i/>
        <vertAlign val="subscript"/>
        <sz val="10"/>
        <color theme="1"/>
        <rFont val="Calibri"/>
        <family val="2"/>
        <scheme val="minor"/>
      </rPr>
      <t>F</t>
    </r>
    <r>
      <rPr>
        <i/>
        <sz val="10"/>
        <color theme="1"/>
        <rFont val="Calibri"/>
        <family val="2"/>
        <scheme val="minor"/>
      </rPr>
      <t xml:space="preserve"> =</t>
    </r>
  </si>
  <si>
    <r>
      <t>A</t>
    </r>
    <r>
      <rPr>
        <i/>
        <vertAlign val="subscript"/>
        <sz val="10"/>
        <color theme="1"/>
        <rFont val="Calibri"/>
        <family val="2"/>
        <scheme val="minor"/>
      </rPr>
      <t>W</t>
    </r>
    <r>
      <rPr>
        <i/>
        <sz val="10"/>
        <color theme="1"/>
        <rFont val="Calibri"/>
        <family val="2"/>
        <scheme val="minor"/>
      </rPr>
      <t xml:space="preserve"> =</t>
    </r>
  </si>
  <si>
    <r>
      <t>A</t>
    </r>
    <r>
      <rPr>
        <i/>
        <vertAlign val="subscript"/>
        <sz val="10"/>
        <color theme="1"/>
        <rFont val="Calibri"/>
        <family val="2"/>
        <scheme val="minor"/>
      </rPr>
      <t>F</t>
    </r>
    <r>
      <rPr>
        <i/>
        <sz val="10"/>
        <color theme="1"/>
        <rFont val="Calibri"/>
        <family val="2"/>
        <scheme val="minor"/>
      </rPr>
      <t xml:space="preserve"> =</t>
    </r>
  </si>
  <si>
    <t xml:space="preserve"> =</t>
  </si>
  <si>
    <t>psi, Bulk Modulus of Stiffener Material</t>
  </si>
  <si>
    <t>in, Half wave length of the buckle pattern (assumed 0.8 x b)</t>
  </si>
  <si>
    <r>
      <t>G</t>
    </r>
    <r>
      <rPr>
        <i/>
        <vertAlign val="subscript"/>
        <sz val="10"/>
        <color theme="1"/>
        <rFont val="Calibri"/>
        <family val="2"/>
        <scheme val="minor"/>
      </rPr>
      <t>s</t>
    </r>
    <r>
      <rPr>
        <i/>
        <sz val="10"/>
        <color theme="1"/>
        <rFont val="Calibri"/>
        <family val="2"/>
        <scheme val="minor"/>
      </rPr>
      <t xml:space="preserve"> =</t>
    </r>
  </si>
  <si>
    <t>Stiffness per unit length of elastic restraining medium at side edge of plate, or momnet require to rotate a unit length through one fourth radian</t>
  </si>
  <si>
    <t>Plate Information:</t>
  </si>
  <si>
    <t>Stiffener Information:</t>
  </si>
  <si>
    <t>A =</t>
  </si>
  <si>
    <t>in, Flange Thickness</t>
  </si>
  <si>
    <t>in, Width of Flange</t>
  </si>
  <si>
    <t xml:space="preserve">in², Area of one flange </t>
  </si>
  <si>
    <t xml:space="preserve">in⁴, Moment of Inertia of one flange </t>
  </si>
  <si>
    <t>in, Height of Web</t>
  </si>
  <si>
    <t>in, Web Thickness</t>
  </si>
  <si>
    <t xml:space="preserve">in², Area of Web </t>
  </si>
  <si>
    <t xml:space="preserve">in², Area of Cross Section </t>
  </si>
  <si>
    <t>J =</t>
  </si>
  <si>
    <t>in⁴, Section  Torsion Constant</t>
  </si>
  <si>
    <t>Stiffener Type =</t>
  </si>
  <si>
    <t>=</t>
  </si>
  <si>
    <t>in⁴</t>
  </si>
  <si>
    <r>
      <t>I</t>
    </r>
    <r>
      <rPr>
        <vertAlign val="subscript"/>
        <sz val="10"/>
        <rFont val="Calibri"/>
        <family val="2"/>
        <scheme val="minor"/>
      </rPr>
      <t>y</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</si>
  <si>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</si>
  <si>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t>Area Moment of Intertia</t>
  </si>
  <si>
    <t>in</t>
  </si>
  <si>
    <t>Total Width (x) =</t>
  </si>
  <si>
    <t>Total Height (y) =</t>
  </si>
  <si>
    <r>
      <t>ẏ</t>
    </r>
    <r>
      <rPr>
        <vertAlign val="subscript"/>
        <sz val="10"/>
        <rFont val="Calibri"/>
        <family val="2"/>
        <scheme val="minor"/>
      </rPr>
      <t>lower</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</si>
  <si>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</si>
  <si>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</si>
  <si>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</si>
  <si>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ẋ</t>
    </r>
    <r>
      <rPr>
        <vertAlign val="subscript"/>
        <sz val="10"/>
        <rFont val="Calibri"/>
        <family val="2"/>
        <scheme val="minor"/>
      </rPr>
      <t>left</t>
    </r>
    <r>
      <rPr>
        <sz val="10"/>
        <rFont val="Calibri"/>
        <family val="2"/>
        <scheme val="minor"/>
      </rPr>
      <t xml:space="preserve"> =</t>
    </r>
  </si>
  <si>
    <r>
      <t>ρ</t>
    </r>
    <r>
      <rPr>
        <vertAlign val="subscript"/>
        <sz val="10"/>
        <rFont val="Calibri"/>
        <family val="2"/>
        <scheme val="minor"/>
      </rPr>
      <t>x</t>
    </r>
    <r>
      <rPr>
        <sz val="10"/>
        <rFont val="Calibri"/>
        <family val="2"/>
        <scheme val="minor"/>
      </rPr>
      <t xml:space="preserve"> =</t>
    </r>
  </si>
  <si>
    <t>in²</t>
  </si>
  <si>
    <t>Y =</t>
  </si>
  <si>
    <t>Radius of Gyration</t>
  </si>
  <si>
    <t>General Properties</t>
  </si>
  <si>
    <r>
      <t>(mm</t>
    </r>
    <r>
      <rPr>
        <vertAlign val="superscript"/>
        <sz val="10"/>
        <rFont val="Calibri"/>
        <family val="2"/>
        <scheme val="minor"/>
      </rPr>
      <t>4</t>
    </r>
    <r>
      <rPr>
        <sz val="10"/>
        <rFont val="Calibri"/>
        <family val="2"/>
        <scheme val="minor"/>
      </rPr>
      <t>)</t>
    </r>
  </si>
  <si>
    <t>(mm)</t>
  </si>
  <si>
    <t>Total Iz</t>
  </si>
  <si>
    <t>z</t>
  </si>
  <si>
    <t>Total Iy</t>
  </si>
  <si>
    <t>y</t>
  </si>
  <si>
    <t>Total Section Properties about origin:</t>
  </si>
  <si>
    <t>Sum:Iz</t>
  </si>
  <si>
    <r>
      <t>Sum: z</t>
    </r>
    <r>
      <rPr>
        <vertAlign val="superscript"/>
        <sz val="10"/>
        <rFont val="Calibri"/>
        <family val="2"/>
        <scheme val="minor"/>
      </rPr>
      <t>2</t>
    </r>
    <r>
      <rPr>
        <sz val="10"/>
        <rFont val="Calibri"/>
        <family val="2"/>
        <scheme val="minor"/>
      </rPr>
      <t>A</t>
    </r>
  </si>
  <si>
    <t>Sum: zA</t>
  </si>
  <si>
    <t>Sum:Iy</t>
  </si>
  <si>
    <r>
      <t>Sum: y</t>
    </r>
    <r>
      <rPr>
        <vertAlign val="superscript"/>
        <sz val="10"/>
        <rFont val="Calibri"/>
        <family val="2"/>
        <scheme val="minor"/>
      </rPr>
      <t>2</t>
    </r>
    <r>
      <rPr>
        <sz val="10"/>
        <rFont val="Calibri"/>
        <family val="2"/>
        <scheme val="minor"/>
      </rPr>
      <t>A</t>
    </r>
  </si>
  <si>
    <t>Sum: yA</t>
  </si>
  <si>
    <t>Sum: A</t>
  </si>
  <si>
    <t>(in)</t>
  </si>
  <si>
    <t>x</t>
  </si>
  <si>
    <t>Element</t>
  </si>
  <si>
    <t>Iz</t>
  </si>
  <si>
    <r>
      <t>z</t>
    </r>
    <r>
      <rPr>
        <vertAlign val="superscript"/>
        <sz val="10"/>
        <rFont val="Calibri"/>
        <family val="2"/>
        <scheme val="minor"/>
      </rPr>
      <t>2</t>
    </r>
    <r>
      <rPr>
        <sz val="10"/>
        <rFont val="Calibri"/>
        <family val="2"/>
        <scheme val="minor"/>
      </rPr>
      <t>A</t>
    </r>
  </si>
  <si>
    <t>zA</t>
  </si>
  <si>
    <t>Iy</t>
  </si>
  <si>
    <r>
      <t>y</t>
    </r>
    <r>
      <rPr>
        <vertAlign val="superscript"/>
        <sz val="10"/>
        <rFont val="Calibri"/>
        <family val="2"/>
        <scheme val="minor"/>
      </rPr>
      <t>2</t>
    </r>
    <r>
      <rPr>
        <sz val="10"/>
        <rFont val="Calibri"/>
        <family val="2"/>
        <scheme val="minor"/>
      </rPr>
      <t>A</t>
    </r>
  </si>
  <si>
    <t>yA</t>
  </si>
  <si>
    <t>A</t>
  </si>
  <si>
    <r>
      <t>I</t>
    </r>
    <r>
      <rPr>
        <vertAlign val="subscript"/>
        <sz val="10"/>
        <rFont val="Calibri"/>
        <family val="2"/>
        <scheme val="minor"/>
      </rPr>
      <t>xy</t>
    </r>
    <r>
      <rPr>
        <sz val="10"/>
        <rFont val="Calibri"/>
        <family val="2"/>
        <scheme val="minor"/>
      </rPr>
      <t xml:space="preserve"> =</t>
    </r>
  </si>
  <si>
    <t>in⁴, Polar moment of intertia of stiffener sectional area about axis of rotation</t>
  </si>
  <si>
    <t>Distance to shear center</t>
  </si>
  <si>
    <t>e =</t>
  </si>
  <si>
    <r>
      <t>C</t>
    </r>
    <r>
      <rPr>
        <i/>
        <vertAlign val="subscript"/>
        <sz val="10"/>
        <color theme="1"/>
        <rFont val="Calibri"/>
        <family val="2"/>
        <scheme val="minor"/>
      </rPr>
      <t>BT</t>
    </r>
    <r>
      <rPr>
        <i/>
        <sz val="10"/>
        <color theme="1"/>
        <rFont val="Calibri"/>
        <family val="2"/>
        <scheme val="minor"/>
      </rPr>
      <t xml:space="preserve"> =</t>
    </r>
  </si>
  <si>
    <t>AA-SM-007-070</t>
  </si>
  <si>
    <t>07/24/2016</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</si>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</sst>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0"/>
    <numFmt numFmtId="167" formatCode="0.0000000"/>
    <numFmt numFmtId="168" formatCode="0.0000"/>
    <numFmt numFmtId="169" formatCode="0.000000"/>
  </numFmts>
  <fonts count="3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
      <i/>
      <sz val="10"/>
      <color theme="1"/>
      <name val="Calibri"/>
      <family val="2"/>
      <scheme val="minor"/>
    </font>
    <font>
      <i/>
      <vertAlign val="subscript"/>
      <sz val="10"/>
      <color theme="1"/>
      <name val="Calibri"/>
      <family val="2"/>
      <scheme val="minor"/>
    </font>
    <font>
      <sz val="10"/>
      <color theme="1"/>
      <name val="Arial"/>
      <family val="2"/>
    </font>
    <font>
      <sz val="12"/>
      <name val="Calibri"/>
      <family val="2"/>
    </font>
    <font>
      <sz val="11"/>
      <name val="Calibri"/>
      <family val="2"/>
    </font>
    <font>
      <sz val="10"/>
      <color rgb="FF000000"/>
      <name val="Calibri"/>
      <family val="2"/>
    </font>
    <font>
      <vertAlign val="subscript"/>
      <sz val="10"/>
      <name val="Calibri"/>
      <family val="2"/>
      <scheme val="minor"/>
    </font>
    <font>
      <vertAlign val="superscript"/>
      <sz val="10"/>
      <name val="Calibri"/>
      <family val="2"/>
      <scheme val="minor"/>
    </font>
    <font>
      <sz val="10"/>
      <color indexed="12"/>
      <name val="Calibri"/>
      <family val="2"/>
      <scheme val="minor"/>
    </font>
    <font>
      <sz val="10"/>
      <color rgb="FF00000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xf numFmtId="0" fontId="24" fillId="0" borderId="0"/>
  </cellStyleXfs>
  <cellXfs count="20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lignment horizontal="center"/>
    </xf>
    <xf numFmtId="0" fontId="16" fillId="0" borderId="0" xfId="2" applyFont="1" applyAlignment="1">
      <alignment horizontal="left"/>
    </xf>
    <xf numFmtId="1"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7" fillId="0" borderId="0" xfId="2" applyFont="1" applyAlignment="1">
      <alignment horizontal="right"/>
    </xf>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0" fontId="21" fillId="0" borderId="0" xfId="2" applyFont="1"/>
    <xf numFmtId="166" fontId="16" fillId="0" borderId="0" xfId="0" applyNumberFormat="1" applyFont="1" applyAlignment="1"/>
    <xf numFmtId="0" fontId="21" fillId="0" borderId="0" xfId="0" applyFont="1" applyAlignment="1">
      <alignment horizontal="right"/>
    </xf>
    <xf numFmtId="164" fontId="21" fillId="0" borderId="0" xfId="1" applyNumberFormat="1" applyFont="1" applyAlignment="1">
      <alignment horizontal="right"/>
    </xf>
    <xf numFmtId="1" fontId="16" fillId="0" borderId="0" xfId="2" applyNumberFormat="1" applyFont="1" applyAlignment="1">
      <alignment horizontal="right"/>
    </xf>
    <xf numFmtId="2" fontId="21" fillId="0" borderId="0" xfId="0" applyNumberFormat="1" applyFont="1"/>
    <xf numFmtId="167" fontId="16" fillId="0" borderId="0" xfId="2" applyNumberFormat="1" applyFont="1" applyAlignment="1">
      <alignment horizontal="right"/>
    </xf>
    <xf numFmtId="167" fontId="16" fillId="0" borderId="0" xfId="0" applyNumberFormat="1" applyFont="1" applyAlignment="1"/>
    <xf numFmtId="167" fontId="17" fillId="0" borderId="0" xfId="2" applyNumberFormat="1" applyFont="1" applyAlignment="1">
      <alignment horizontal="center"/>
    </xf>
    <xf numFmtId="0" fontId="16" fillId="0" borderId="0" xfId="1" applyFont="1" applyAlignment="1">
      <alignment horizontal="right"/>
    </xf>
    <xf numFmtId="0" fontId="21" fillId="0" borderId="0" xfId="1" applyFont="1" applyAlignment="1">
      <alignment horizontal="left"/>
    </xf>
    <xf numFmtId="164" fontId="16" fillId="0" borderId="0" xfId="2" applyNumberFormat="1" applyFont="1" applyAlignment="1">
      <alignment horizontal="right"/>
    </xf>
    <xf numFmtId="0" fontId="16" fillId="0" borderId="0" xfId="1" applyFont="1" applyAlignment="1">
      <alignment horizontal="left"/>
    </xf>
    <xf numFmtId="0" fontId="22" fillId="0" borderId="0" xfId="2" applyFont="1" applyAlignment="1">
      <alignment horizontal="left"/>
    </xf>
    <xf numFmtId="0" fontId="22" fillId="0" borderId="0" xfId="2" applyFont="1" applyBorder="1" applyAlignment="1">
      <alignment horizontal="left"/>
    </xf>
    <xf numFmtId="0" fontId="16" fillId="0" borderId="0" xfId="2" applyFont="1" applyAlignment="1"/>
    <xf numFmtId="0" fontId="3" fillId="0" borderId="0" xfId="0" applyFont="1" applyAlignment="1"/>
    <xf numFmtId="165" fontId="16" fillId="0" borderId="0" xfId="0" applyNumberFormat="1" applyFont="1" applyAlignment="1"/>
    <xf numFmtId="0" fontId="17" fillId="0" borderId="0" xfId="2" applyFont="1" applyAlignment="1"/>
    <xf numFmtId="0" fontId="21" fillId="0" borderId="0" xfId="0" applyFont="1"/>
    <xf numFmtId="0" fontId="3" fillId="0" borderId="0" xfId="1" applyFont="1" applyAlignment="1">
      <alignment horizontal="left"/>
    </xf>
    <xf numFmtId="0" fontId="22" fillId="0" borderId="0" xfId="2" applyFont="1" applyBorder="1" applyAlignment="1">
      <alignment horizontal="center"/>
    </xf>
    <xf numFmtId="2" fontId="3" fillId="0" borderId="0" xfId="0" applyNumberFormat="1" applyFont="1"/>
    <xf numFmtId="0" fontId="22" fillId="0" borderId="0" xfId="2" applyFont="1" applyAlignment="1">
      <alignment horizontal="center"/>
    </xf>
    <xf numFmtId="0" fontId="26" fillId="0" borderId="0" xfId="0" applyFont="1" applyAlignment="1">
      <alignment horizontal="justify" vertical="center"/>
    </xf>
    <xf numFmtId="0" fontId="25" fillId="0" borderId="0" xfId="0" applyFont="1" applyAlignment="1">
      <alignment horizontal="justify" vertical="center"/>
    </xf>
    <xf numFmtId="0" fontId="0" fillId="0" borderId="0" xfId="0" applyAlignment="1"/>
    <xf numFmtId="0" fontId="22" fillId="0" borderId="0" xfId="2" applyFont="1" applyAlignment="1">
      <alignment horizontal="right"/>
    </xf>
    <xf numFmtId="0" fontId="10" fillId="0" borderId="0" xfId="0" applyFont="1" applyAlignment="1">
      <alignment horizontal="right"/>
    </xf>
    <xf numFmtId="0" fontId="22" fillId="0" borderId="0" xfId="1" applyFont="1" applyAlignment="1">
      <alignment horizontal="right"/>
    </xf>
    <xf numFmtId="0" fontId="22" fillId="0" borderId="0" xfId="0" applyFont="1" applyAlignment="1">
      <alignment horizontal="right"/>
    </xf>
    <xf numFmtId="0" fontId="22" fillId="0" borderId="0" xfId="2" applyFont="1" applyBorder="1" applyAlignment="1">
      <alignment horizontal="right"/>
    </xf>
    <xf numFmtId="164" fontId="3" fillId="0" borderId="0" xfId="0" applyNumberFormat="1" applyFont="1"/>
    <xf numFmtId="164" fontId="21" fillId="0" borderId="0" xfId="0" applyNumberFormat="1" applyFont="1"/>
    <xf numFmtId="2" fontId="21" fillId="0" borderId="0" xfId="0" applyNumberFormat="1" applyFont="1" applyAlignment="1">
      <alignment horizontal="right"/>
    </xf>
    <xf numFmtId="166" fontId="3" fillId="0" borderId="0" xfId="0" applyNumberFormat="1" applyFont="1"/>
    <xf numFmtId="0" fontId="12" fillId="0" borderId="0" xfId="0" applyFont="1" applyAlignment="1">
      <alignment horizontal="left" vertical="center"/>
    </xf>
    <xf numFmtId="0" fontId="27" fillId="0" borderId="0" xfId="0" applyFont="1" applyAlignment="1">
      <alignment horizontal="left" vertical="center"/>
    </xf>
    <xf numFmtId="0" fontId="3" fillId="0" borderId="0" xfId="8" applyFont="1" applyBorder="1" applyProtection="1">
      <protection locked="0"/>
    </xf>
    <xf numFmtId="0" fontId="5" fillId="0" borderId="0" xfId="8" applyFont="1" applyBorder="1" applyProtection="1">
      <protection locked="0"/>
    </xf>
    <xf numFmtId="0" fontId="3" fillId="0" borderId="0" xfId="1" applyFont="1" applyProtection="1">
      <protection locked="0"/>
    </xf>
    <xf numFmtId="0" fontId="3" fillId="0" borderId="0" xfId="1" applyFont="1" applyBorder="1" applyProtection="1">
      <protection locked="0"/>
    </xf>
    <xf numFmtId="0" fontId="3" fillId="0" borderId="0" xfId="1" applyFont="1" applyBorder="1"/>
    <xf numFmtId="0" fontId="3" fillId="0" borderId="0" xfId="1" applyFont="1" applyBorder="1" applyAlignment="1" applyProtection="1">
      <alignment horizontal="right"/>
      <protection locked="0"/>
    </xf>
    <xf numFmtId="0" fontId="3" fillId="0" borderId="0" xfId="8" applyFont="1" applyProtection="1">
      <protection locked="0"/>
    </xf>
    <xf numFmtId="0" fontId="3" fillId="0" borderId="0" xfId="8" applyFont="1" applyBorder="1" applyAlignment="1" applyProtection="1">
      <alignment horizontal="right" vertical="center"/>
      <protection locked="0"/>
    </xf>
    <xf numFmtId="0" fontId="3" fillId="0" borderId="0" xfId="1" applyFont="1" applyBorder="1" applyAlignment="1">
      <alignment horizontal="right"/>
    </xf>
    <xf numFmtId="1" fontId="3" fillId="0" borderId="0" xfId="8" applyNumberFormat="1" applyFont="1" applyProtection="1">
      <protection locked="0"/>
    </xf>
    <xf numFmtId="0" fontId="3" fillId="0" borderId="0" xfId="8" applyFont="1" applyBorder="1" applyAlignment="1" applyProtection="1">
      <alignment vertical="center"/>
      <protection locked="0"/>
    </xf>
    <xf numFmtId="2" fontId="3" fillId="0" borderId="0" xfId="8" applyNumberFormat="1" applyFont="1" applyBorder="1" applyAlignment="1" applyProtection="1">
      <alignment horizontal="right" vertical="center"/>
      <protection locked="0"/>
    </xf>
    <xf numFmtId="164" fontId="3" fillId="0" borderId="0" xfId="8" applyNumberFormat="1" applyFont="1" applyBorder="1" applyProtection="1">
      <protection locked="0"/>
    </xf>
    <xf numFmtId="0" fontId="3" fillId="0" borderId="0" xfId="8" applyFont="1" applyBorder="1" applyAlignment="1" applyProtection="1">
      <alignment horizontal="right"/>
      <protection locked="0"/>
    </xf>
    <xf numFmtId="164" fontId="3" fillId="0" borderId="0" xfId="8" applyNumberFormat="1" applyFont="1" applyBorder="1" applyAlignment="1" applyProtection="1">
      <alignment horizontal="right" vertical="center"/>
      <protection locked="0"/>
    </xf>
    <xf numFmtId="0" fontId="3" fillId="0" borderId="0" xfId="8" applyFont="1" applyAlignment="1" applyProtection="1">
      <alignment vertical="center"/>
      <protection locked="0"/>
    </xf>
    <xf numFmtId="0" fontId="3" fillId="0" borderId="0" xfId="8" applyFont="1" applyAlignment="1" applyProtection="1">
      <alignment horizontal="right" vertical="center"/>
      <protection locked="0"/>
    </xf>
    <xf numFmtId="164" fontId="3" fillId="0" borderId="0" xfId="1" applyNumberFormat="1" applyFont="1" applyBorder="1" applyProtection="1">
      <protection locked="0"/>
    </xf>
    <xf numFmtId="165" fontId="3" fillId="0" borderId="0" xfId="8" applyNumberFormat="1" applyFont="1" applyProtection="1">
      <protection locked="0"/>
    </xf>
    <xf numFmtId="165" fontId="3" fillId="0" borderId="0" xfId="8" applyNumberFormat="1" applyFont="1" applyAlignment="1" applyProtection="1">
      <alignment horizontal="right" vertical="center"/>
      <protection locked="0"/>
    </xf>
    <xf numFmtId="168" fontId="3" fillId="0" borderId="0" xfId="1" applyNumberFormat="1" applyFont="1" applyBorder="1" applyAlignment="1" applyProtection="1">
      <alignment horizontal="right"/>
      <protection locked="0"/>
    </xf>
    <xf numFmtId="164" fontId="3" fillId="0" borderId="0" xfId="1" applyNumberFormat="1" applyFont="1"/>
    <xf numFmtId="168" fontId="3" fillId="0" borderId="0" xfId="1" applyNumberFormat="1" applyFont="1"/>
    <xf numFmtId="0" fontId="5" fillId="0" borderId="0" xfId="8" applyFont="1" applyBorder="1" applyAlignment="1" applyProtection="1">
      <alignment horizontal="left" vertical="center"/>
      <protection locked="0"/>
    </xf>
    <xf numFmtId="168" fontId="5" fillId="0" borderId="0" xfId="1" applyNumberFormat="1" applyFont="1" applyBorder="1" applyAlignment="1" applyProtection="1">
      <alignment horizontal="center"/>
      <protection locked="0"/>
    </xf>
    <xf numFmtId="164" fontId="3" fillId="0" borderId="6" xfId="1" applyNumberFormat="1" applyFont="1" applyBorder="1"/>
    <xf numFmtId="164" fontId="3" fillId="0" borderId="7" xfId="1" applyNumberFormat="1" applyFont="1" applyBorder="1"/>
    <xf numFmtId="0" fontId="3" fillId="0" borderId="0" xfId="1" applyFont="1" applyBorder="1" applyAlignment="1" applyProtection="1">
      <alignment horizontal="center"/>
      <protection locked="0"/>
    </xf>
    <xf numFmtId="0" fontId="3" fillId="0" borderId="5" xfId="1" applyFont="1" applyBorder="1"/>
    <xf numFmtId="164" fontId="3" fillId="0" borderId="4" xfId="1" applyNumberFormat="1" applyFont="1" applyBorder="1"/>
    <xf numFmtId="164" fontId="3" fillId="0" borderId="0" xfId="1" applyNumberFormat="1" applyFont="1" applyAlignment="1">
      <alignment horizontal="center"/>
    </xf>
    <xf numFmtId="164" fontId="21" fillId="0" borderId="0" xfId="1" applyNumberFormat="1" applyFont="1" applyBorder="1" applyAlignment="1" applyProtection="1">
      <alignment horizontal="center"/>
      <protection locked="0"/>
    </xf>
    <xf numFmtId="0" fontId="3" fillId="0" borderId="4" xfId="1" applyFont="1" applyBorder="1"/>
    <xf numFmtId="164" fontId="3" fillId="0" borderId="5" xfId="1" applyNumberFormat="1" applyFont="1" applyBorder="1"/>
    <xf numFmtId="165" fontId="3" fillId="0" borderId="0" xfId="1" applyNumberFormat="1" applyFont="1" applyAlignment="1">
      <alignment horizontal="center"/>
    </xf>
    <xf numFmtId="1" fontId="3" fillId="0" borderId="0" xfId="1" applyNumberFormat="1" applyFont="1" applyAlignment="1">
      <alignment horizontal="center"/>
    </xf>
    <xf numFmtId="168" fontId="3" fillId="0" borderId="0" xfId="1" applyNumberFormat="1" applyFont="1" applyAlignment="1">
      <alignment horizontal="center"/>
    </xf>
    <xf numFmtId="0" fontId="3" fillId="0" borderId="0" xfId="1" applyFont="1" applyAlignment="1" applyProtection="1">
      <alignment horizontal="center"/>
      <protection locked="0"/>
    </xf>
    <xf numFmtId="0" fontId="3" fillId="0" borderId="0" xfId="1" applyFont="1" applyFill="1" applyBorder="1" applyAlignment="1">
      <alignment horizontal="center"/>
    </xf>
    <xf numFmtId="0" fontId="3" fillId="0" borderId="8" xfId="1" applyFont="1" applyBorder="1"/>
    <xf numFmtId="164" fontId="3" fillId="0" borderId="3" xfId="1" applyNumberFormat="1" applyFont="1" applyBorder="1"/>
    <xf numFmtId="0" fontId="3" fillId="0" borderId="0" xfId="2" applyFont="1" applyAlignment="1">
      <alignment horizontal="left"/>
    </xf>
    <xf numFmtId="0" fontId="3" fillId="0" borderId="0" xfId="2" applyFont="1" applyFill="1"/>
    <xf numFmtId="0" fontId="3" fillId="0" borderId="0" xfId="2" applyFont="1" applyFill="1" applyAlignment="1">
      <alignment horizontal="right"/>
    </xf>
    <xf numFmtId="2" fontId="30" fillId="0" borderId="0" xfId="2" applyNumberFormat="1" applyFont="1" applyFill="1" applyAlignment="1" applyProtection="1">
      <alignment horizontal="center"/>
      <protection locked="0"/>
    </xf>
    <xf numFmtId="0" fontId="3" fillId="0" borderId="0" xfId="2" applyFont="1" applyFill="1" applyAlignment="1">
      <alignment horizontal="left" vertical="center"/>
    </xf>
    <xf numFmtId="0" fontId="3" fillId="0" borderId="0" xfId="2" applyFont="1" applyFill="1" applyBorder="1" applyAlignment="1">
      <alignment horizontal="left"/>
    </xf>
    <xf numFmtId="0" fontId="21" fillId="0" borderId="0" xfId="2" applyFont="1" applyAlignment="1">
      <alignment horizontal="right"/>
    </xf>
    <xf numFmtId="2" fontId="30" fillId="0" borderId="0" xfId="2" applyNumberFormat="1" applyFont="1" applyFill="1" applyAlignment="1">
      <alignment horizontal="center"/>
    </xf>
    <xf numFmtId="0" fontId="3" fillId="0" borderId="0" xfId="2" applyFont="1" applyAlignment="1">
      <alignment vertical="center"/>
    </xf>
    <xf numFmtId="0" fontId="31" fillId="0" borderId="0" xfId="0" applyFont="1" applyAlignment="1">
      <alignment horizontal="right"/>
    </xf>
    <xf numFmtId="1" fontId="30" fillId="0" borderId="0" xfId="2" applyNumberFormat="1" applyFont="1" applyFill="1" applyAlignment="1" applyProtection="1">
      <alignment horizontal="center"/>
      <protection locked="0"/>
    </xf>
    <xf numFmtId="0" fontId="3" fillId="0" borderId="0" xfId="2" applyFont="1" applyAlignment="1">
      <alignment horizontal="right" wrapText="1"/>
    </xf>
    <xf numFmtId="0" fontId="30" fillId="0" borderId="0" xfId="2" applyFont="1" applyAlignment="1">
      <alignment horizontal="center"/>
    </xf>
    <xf numFmtId="166" fontId="3" fillId="0" borderId="0" xfId="2" applyNumberFormat="1" applyFont="1" applyAlignment="1">
      <alignment horizontal="right"/>
    </xf>
    <xf numFmtId="0" fontId="3" fillId="0" borderId="0" xfId="0" applyFont="1" applyAlignment="1" applyProtection="1">
      <alignment vertical="center"/>
      <protection locked="0"/>
    </xf>
    <xf numFmtId="165" fontId="3" fillId="0" borderId="0" xfId="2" applyNumberFormat="1" applyFont="1" applyAlignment="1">
      <alignment horizontal="right"/>
    </xf>
    <xf numFmtId="0" fontId="3" fillId="0" borderId="0" xfId="2" applyFont="1" applyBorder="1" applyAlignment="1">
      <alignment horizontal="left"/>
    </xf>
    <xf numFmtId="165" fontId="3" fillId="0" borderId="0" xfId="2" applyNumberFormat="1" applyFont="1" applyBorder="1" applyAlignment="1">
      <alignment horizontal="right"/>
    </xf>
    <xf numFmtId="2" fontId="5" fillId="0" borderId="0" xfId="0" applyNumberFormat="1" applyFont="1"/>
    <xf numFmtId="169" fontId="3" fillId="0" borderId="0" xfId="0" applyNumberFormat="1" applyFont="1" applyAlignment="1">
      <alignment horizontal="lef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xf>
    <xf numFmtId="0" fontId="19" fillId="0" borderId="0" xfId="7" applyFont="1" applyAlignment="1">
      <alignment horizontal="left"/>
    </xf>
    <xf numFmtId="0" fontId="16" fillId="0" borderId="0" xfId="2" applyFont="1" applyAlignment="1">
      <alignment horizontal="left" wrapText="1"/>
    </xf>
    <xf numFmtId="0" fontId="16" fillId="0" borderId="0" xfId="2" applyFont="1" applyAlignment="1">
      <alignment horizontal="left" vertical="top" wrapText="1"/>
    </xf>
    <xf numFmtId="0" fontId="21" fillId="0" borderId="0" xfId="0" applyFont="1" applyAlignment="1">
      <alignment horizontal="left"/>
    </xf>
  </cellXfs>
  <cellStyles count="9">
    <cellStyle name="Hyperlink" xfId="7" builtinId="8"/>
    <cellStyle name="Hyperlink 2" xfId="4"/>
    <cellStyle name="Normal" xfId="0" builtinId="0"/>
    <cellStyle name="Normal 2" xfId="1"/>
    <cellStyle name="Normal 2 2" xfId="2"/>
    <cellStyle name="Normal 3" xfId="5"/>
    <cellStyle name="Normal 4" xfId="3"/>
    <cellStyle name="Normal 5" xfId="6"/>
    <cellStyle name="Normal 6" xfId="8"/>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Analysis!$AM$27:$AM$31</c:f>
              <c:numCache>
                <c:formatCode>0.000</c:formatCode>
                <c:ptCount val="5"/>
                <c:pt idx="0">
                  <c:v>0</c:v>
                </c:pt>
                <c:pt idx="1">
                  <c:v>0</c:v>
                </c:pt>
                <c:pt idx="2">
                  <c:v>0.5</c:v>
                </c:pt>
                <c:pt idx="3">
                  <c:v>0.5</c:v>
                </c:pt>
                <c:pt idx="4">
                  <c:v>0</c:v>
                </c:pt>
              </c:numCache>
            </c:numRef>
          </c:xVal>
          <c:yVal>
            <c:numRef>
              <c:f>Analysis!$AN$27:$AN$31</c:f>
              <c:numCache>
                <c:formatCode>General</c:formatCode>
                <c:ptCount val="5"/>
                <c:pt idx="0">
                  <c:v>0</c:v>
                </c:pt>
                <c:pt idx="1">
                  <c:v>0.06</c:v>
                </c:pt>
                <c:pt idx="2">
                  <c:v>0.06</c:v>
                </c:pt>
                <c:pt idx="3">
                  <c:v>0</c:v>
                </c:pt>
                <c:pt idx="4" formatCode="0.000">
                  <c:v>0</c:v>
                </c:pt>
              </c:numCache>
            </c:numRef>
          </c:yVal>
          <c:smooth val="0"/>
          <c:extLst>
            <c:ext xmlns:c16="http://schemas.microsoft.com/office/drawing/2014/chart" uri="{C3380CC4-5D6E-409C-BE32-E72D297353CC}">
              <c16:uniqueId val="{00000000-146F-428D-B43C-8DE852CF2374}"/>
            </c:ext>
          </c:extLst>
        </c:ser>
        <c:ser>
          <c:idx val="1"/>
          <c:order val="1"/>
          <c:spPr>
            <a:ln w="19050">
              <a:solidFill>
                <a:srgbClr val="000000"/>
              </a:solidFill>
            </a:ln>
          </c:spPr>
          <c:marker>
            <c:symbol val="none"/>
          </c:marker>
          <c:xVal>
            <c:numRef>
              <c:f>Analysis!$AP$27:$AP$31</c:f>
              <c:numCache>
                <c:formatCode>0.000</c:formatCode>
                <c:ptCount val="5"/>
                <c:pt idx="0">
                  <c:v>0.22</c:v>
                </c:pt>
                <c:pt idx="1">
                  <c:v>0.22</c:v>
                </c:pt>
                <c:pt idx="2">
                  <c:v>0.28000000000000003</c:v>
                </c:pt>
                <c:pt idx="3">
                  <c:v>0.28000000000000003</c:v>
                </c:pt>
                <c:pt idx="4">
                  <c:v>0.22</c:v>
                </c:pt>
              </c:numCache>
            </c:numRef>
          </c:xVal>
          <c:yVal>
            <c:numRef>
              <c:f>Analysis!$AQ$27:$AQ$31</c:f>
              <c:numCache>
                <c:formatCode>General</c:formatCode>
                <c:ptCount val="5"/>
                <c:pt idx="0">
                  <c:v>6.0000000000000053E-2</c:v>
                </c:pt>
                <c:pt idx="1">
                  <c:v>1</c:v>
                </c:pt>
                <c:pt idx="2">
                  <c:v>1</c:v>
                </c:pt>
                <c:pt idx="3">
                  <c:v>6.0000000000000053E-2</c:v>
                </c:pt>
                <c:pt idx="4" formatCode="0.000">
                  <c:v>6.0000000000000053E-2</c:v>
                </c:pt>
              </c:numCache>
            </c:numRef>
          </c:yVal>
          <c:smooth val="0"/>
          <c:extLst>
            <c:ext xmlns:c16="http://schemas.microsoft.com/office/drawing/2014/chart" uri="{C3380CC4-5D6E-409C-BE32-E72D297353CC}">
              <c16:uniqueId val="{00000001-146F-428D-B43C-8DE852CF2374}"/>
            </c:ext>
          </c:extLst>
        </c:ser>
        <c:ser>
          <c:idx val="2"/>
          <c:order val="2"/>
          <c:spPr>
            <a:ln w="19050">
              <a:solidFill>
                <a:srgbClr val="000000"/>
              </a:solidFill>
            </a:ln>
          </c:spPr>
          <c:marker>
            <c:symbol val="none"/>
          </c:marker>
          <c:xVal>
            <c:numRef>
              <c:f>Analysis!$AS$27:$AS$31</c:f>
              <c:numCache>
                <c:formatCode>0.000</c:formatCode>
                <c:ptCount val="5"/>
                <c:pt idx="0">
                  <c:v>0</c:v>
                </c:pt>
                <c:pt idx="1">
                  <c:v>0</c:v>
                </c:pt>
                <c:pt idx="2">
                  <c:v>0.5</c:v>
                </c:pt>
                <c:pt idx="3">
                  <c:v>0.5</c:v>
                </c:pt>
                <c:pt idx="4">
                  <c:v>0</c:v>
                </c:pt>
              </c:numCache>
            </c:numRef>
          </c:xVal>
          <c:yVal>
            <c:numRef>
              <c:f>Analysis!$AT$27:$AT$31</c:f>
              <c:numCache>
                <c:formatCode>General</c:formatCode>
                <c:ptCount val="5"/>
                <c:pt idx="0">
                  <c:v>1</c:v>
                </c:pt>
                <c:pt idx="1">
                  <c:v>1.06</c:v>
                </c:pt>
                <c:pt idx="2">
                  <c:v>1.06</c:v>
                </c:pt>
                <c:pt idx="3">
                  <c:v>1</c:v>
                </c:pt>
                <c:pt idx="4" formatCode="0.000">
                  <c:v>1</c:v>
                </c:pt>
              </c:numCache>
            </c:numRef>
          </c:yVal>
          <c:smooth val="0"/>
          <c:extLst>
            <c:ext xmlns:c16="http://schemas.microsoft.com/office/drawing/2014/chart" uri="{C3380CC4-5D6E-409C-BE32-E72D297353CC}">
              <c16:uniqueId val="{00000002-146F-428D-B43C-8DE852CF2374}"/>
            </c:ext>
          </c:extLst>
        </c:ser>
        <c:ser>
          <c:idx val="9"/>
          <c:order val="3"/>
          <c:spPr>
            <a:ln w="9525">
              <a:solidFill>
                <a:schemeClr val="tx1"/>
              </a:solidFill>
              <a:prstDash val="lgDashDot"/>
            </a:ln>
          </c:spPr>
          <c:marker>
            <c:symbol val="none"/>
          </c:marker>
          <c:xVal>
            <c:numRef>
              <c:f>Analysis!$AN$44:$AN$45</c:f>
              <c:numCache>
                <c:formatCode>0.0000</c:formatCode>
                <c:ptCount val="2"/>
                <c:pt idx="0">
                  <c:v>0.25</c:v>
                </c:pt>
                <c:pt idx="1">
                  <c:v>0.25</c:v>
                </c:pt>
              </c:numCache>
            </c:numRef>
          </c:xVal>
          <c:yVal>
            <c:numRef>
              <c:f>Analysis!$AM$44:$AM$45</c:f>
              <c:numCache>
                <c:formatCode>General</c:formatCode>
                <c:ptCount val="2"/>
                <c:pt idx="0">
                  <c:v>-0.5</c:v>
                </c:pt>
                <c:pt idx="1">
                  <c:v>1.56</c:v>
                </c:pt>
              </c:numCache>
            </c:numRef>
          </c:yVal>
          <c:smooth val="0"/>
          <c:extLst>
            <c:ext xmlns:c16="http://schemas.microsoft.com/office/drawing/2014/chart" uri="{C3380CC4-5D6E-409C-BE32-E72D297353CC}">
              <c16:uniqueId val="{00000009-146F-428D-B43C-8DE852CF2374}"/>
            </c:ext>
          </c:extLst>
        </c:ser>
        <c:ser>
          <c:idx val="10"/>
          <c:order val="4"/>
          <c:spPr>
            <a:ln w="9525">
              <a:solidFill>
                <a:schemeClr val="tx1"/>
              </a:solidFill>
              <a:prstDash val="lgDashDot"/>
            </a:ln>
          </c:spPr>
          <c:marker>
            <c:symbol val="none"/>
          </c:marker>
          <c:xVal>
            <c:numRef>
              <c:f>Analysis!$AP$44:$AP$45</c:f>
              <c:numCache>
                <c:formatCode>0.000</c:formatCode>
                <c:ptCount val="2"/>
                <c:pt idx="0">
                  <c:v>-0.5</c:v>
                </c:pt>
                <c:pt idx="1">
                  <c:v>1</c:v>
                </c:pt>
              </c:numCache>
            </c:numRef>
          </c:xVal>
          <c:yVal>
            <c:numRef>
              <c:f>Analysis!$AQ$44:$AQ$45</c:f>
              <c:numCache>
                <c:formatCode>0.000</c:formatCode>
                <c:ptCount val="2"/>
                <c:pt idx="0">
                  <c:v>0.53</c:v>
                </c:pt>
                <c:pt idx="1">
                  <c:v>0.53</c:v>
                </c:pt>
              </c:numCache>
            </c:numRef>
          </c:yVal>
          <c:smooth val="0"/>
          <c:extLst>
            <c:ext xmlns:c16="http://schemas.microsoft.com/office/drawing/2014/chart" uri="{C3380CC4-5D6E-409C-BE32-E72D297353CC}">
              <c16:uniqueId val="{0000000A-146F-428D-B43C-8DE852CF2374}"/>
            </c:ext>
          </c:extLst>
        </c:ser>
        <c:dLbls>
          <c:showLegendKey val="0"/>
          <c:showVal val="0"/>
          <c:showCatName val="0"/>
          <c:showSerName val="0"/>
          <c:showPercent val="0"/>
          <c:showBubbleSize val="0"/>
        </c:dLbls>
        <c:axId val="540102080"/>
        <c:axId val="540104040"/>
      </c:scatterChart>
      <c:valAx>
        <c:axId val="540102080"/>
        <c:scaling>
          <c:orientation val="minMax"/>
        </c:scaling>
        <c:delete val="0"/>
        <c:axPos val="b"/>
        <c:numFmt formatCode="0" sourceLinked="0"/>
        <c:majorTickMark val="out"/>
        <c:minorTickMark val="none"/>
        <c:tickLblPos val="nextTo"/>
        <c:spPr>
          <a:ln>
            <a:solidFill>
              <a:schemeClr val="tx1"/>
            </a:solidFill>
          </a:ln>
        </c:spPr>
        <c:crossAx val="540104040"/>
        <c:crosses val="autoZero"/>
        <c:crossBetween val="midCat"/>
      </c:valAx>
      <c:valAx>
        <c:axId val="540104040"/>
        <c:scaling>
          <c:orientation val="minMax"/>
        </c:scaling>
        <c:delete val="0"/>
        <c:axPos val="l"/>
        <c:numFmt formatCode="#,##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chart" Target="../charts/chart1.xml"/><Relationship Id="rId4" Type="http://schemas.openxmlformats.org/officeDocument/2006/relationships/image" Target="../media/image2.gif"/><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95880"/>
          <a:ext cx="2571829" cy="642297"/>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8</xdr:col>
      <xdr:colOff>17585</xdr:colOff>
      <xdr:row>14</xdr:row>
      <xdr:rowOff>77372</xdr:rowOff>
    </xdr:from>
    <xdr:ext cx="780406" cy="320280"/>
    <mc:AlternateContent xmlns:mc="http://schemas.openxmlformats.org/markup-compatibility/2006" xmlns:a14="http://schemas.microsoft.com/office/drawing/2010/main">
      <mc:Choice Requires="a14">
        <xdr:sp macro="" textlink="">
          <xdr:nvSpPr>
            <xdr:cNvPr id="2" name="TextBox 1"/>
            <xdr:cNvSpPr txBox="1"/>
          </xdr:nvSpPr>
          <xdr:spPr>
            <a:xfrm>
              <a:off x="5076093" y="2562664"/>
              <a:ext cx="780406"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𝜀</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4∙</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𝑆</m:t>
                            </m:r>
                          </m:e>
                          <m:sub>
                            <m:r>
                              <a:rPr lang="en-US" sz="1100" b="0" i="1">
                                <a:latin typeface="Cambria Math" panose="02040503050406030204" pitchFamily="18" charset="0"/>
                                <a:ea typeface="Cambria Math" panose="02040503050406030204" pitchFamily="18" charset="0"/>
                              </a:rPr>
                              <m:t>0</m:t>
                            </m:r>
                          </m:sub>
                        </m:sSub>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𝑏</m:t>
                        </m:r>
                      </m:num>
                      <m:den>
                        <m:r>
                          <a:rPr lang="en-US" sz="1100" b="0" i="1">
                            <a:latin typeface="Cambria Math" panose="02040503050406030204" pitchFamily="18" charset="0"/>
                            <a:ea typeface="Cambria Math" panose="02040503050406030204" pitchFamily="18" charset="0"/>
                          </a:rPr>
                          <m:t>𝐷</m:t>
                        </m:r>
                      </m:den>
                    </m:f>
                  </m:oMath>
                </m:oMathPara>
              </a14:m>
              <a:endParaRPr lang="en-US" sz="1100"/>
            </a:p>
          </xdr:txBody>
        </xdr:sp>
      </mc:Choice>
      <mc:Fallback xmlns="">
        <xdr:sp macro="" textlink="">
          <xdr:nvSpPr>
            <xdr:cNvPr id="2" name="TextBox 1"/>
            <xdr:cNvSpPr txBox="1"/>
          </xdr:nvSpPr>
          <xdr:spPr>
            <a:xfrm>
              <a:off x="5076093" y="2562664"/>
              <a:ext cx="780406"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ea typeface="Cambria Math" panose="02040503050406030204" pitchFamily="18" charset="0"/>
                </a:rPr>
                <a:t>𝜀</a:t>
              </a:r>
              <a:r>
                <a:rPr lang="en-US" sz="1100" b="0" i="0">
                  <a:latin typeface="Cambria Math" panose="02040503050406030204" pitchFamily="18" charset="0"/>
                  <a:ea typeface="Cambria Math" panose="02040503050406030204" pitchFamily="18" charset="0"/>
                </a:rPr>
                <a:t>=(4∙𝑆_0∙𝑏)/𝐷</a:t>
              </a:r>
              <a:endParaRPr lang="en-US" sz="1100"/>
            </a:p>
          </xdr:txBody>
        </xdr:sp>
      </mc:Fallback>
    </mc:AlternateContent>
    <xdr:clientData/>
  </xdr:oneCellAnchor>
  <xdr:oneCellAnchor>
    <xdr:from>
      <xdr:col>5</xdr:col>
      <xdr:colOff>46892</xdr:colOff>
      <xdr:row>17</xdr:row>
      <xdr:rowOff>65059</xdr:rowOff>
    </xdr:from>
    <xdr:ext cx="2543325" cy="388120"/>
    <mc:AlternateContent xmlns:mc="http://schemas.openxmlformats.org/markup-compatibility/2006" xmlns:a14="http://schemas.microsoft.com/office/drawing/2010/main">
      <mc:Choice Requires="a14">
        <xdr:sp macro="" textlink="">
          <xdr:nvSpPr>
            <xdr:cNvPr id="6" name="TextBox 5"/>
            <xdr:cNvSpPr txBox="1"/>
          </xdr:nvSpPr>
          <xdr:spPr>
            <a:xfrm>
              <a:off x="3223846" y="2896182"/>
              <a:ext cx="2543325"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4∙</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𝑆</m:t>
                        </m:r>
                      </m:e>
                      <m:sub>
                        <m:r>
                          <a:rPr lang="en-US" sz="1100" b="0" i="1">
                            <a:solidFill>
                              <a:schemeClr val="tx1"/>
                            </a:solidFill>
                            <a:effectLst/>
                            <a:latin typeface="Cambria Math" panose="02040503050406030204" pitchFamily="18" charset="0"/>
                            <a:ea typeface="+mn-ea"/>
                            <a:cs typeface="+mn-cs"/>
                          </a:rPr>
                          <m:t>0</m:t>
                        </m:r>
                      </m:sub>
                    </m:sSub>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𝜋</m:t>
                            </m:r>
                          </m:e>
                          <m:sup>
                            <m:r>
                              <a:rPr lang="en-US" sz="1100" b="0" i="1">
                                <a:latin typeface="Cambria Math" panose="02040503050406030204" pitchFamily="18" charset="0"/>
                                <a:ea typeface="Cambria Math" panose="02040503050406030204" pitchFamily="18" charset="0"/>
                              </a:rPr>
                              <m:t>2</m:t>
                            </m:r>
                          </m:sup>
                        </m:sSup>
                      </m:num>
                      <m:den>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𝜆</m:t>
                            </m:r>
                          </m:e>
                          <m:sup>
                            <m:r>
                              <a:rPr lang="en-US" sz="1100" b="0" i="1">
                                <a:latin typeface="Cambria Math" panose="02040503050406030204" pitchFamily="18" charset="0"/>
                                <a:ea typeface="Cambria Math" panose="02040503050406030204" pitchFamily="18" charset="0"/>
                              </a:rPr>
                              <m:t>2</m:t>
                            </m:r>
                          </m:sup>
                        </m:sSup>
                      </m:den>
                    </m:f>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𝐺</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𝐽</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𝑓</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𝐼</m:t>
                            </m:r>
                          </m:e>
                          <m:sub>
                            <m:r>
                              <a:rPr lang="en-US" sz="1100" b="0" i="1">
                                <a:latin typeface="Cambria Math" panose="02040503050406030204" pitchFamily="18" charset="0"/>
                                <a:ea typeface="Cambria Math" panose="02040503050406030204" pitchFamily="18" charset="0"/>
                              </a:rPr>
                              <m:t>𝑝</m:t>
                            </m:r>
                          </m:sub>
                        </m:sSub>
                        <m:r>
                          <a:rPr lang="en-US" sz="1100" b="0" i="1">
                            <a:latin typeface="Cambria Math" panose="02040503050406030204" pitchFamily="18" charset="0"/>
                            <a:ea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𝜋</m:t>
                                </m:r>
                              </m:e>
                              <m:sup>
                                <m:r>
                                  <a:rPr lang="en-US" sz="1100" b="0" i="1">
                                    <a:solidFill>
                                      <a:schemeClr val="tx1"/>
                                    </a:solidFill>
                                    <a:effectLst/>
                                    <a:latin typeface="Cambria Math" panose="02040503050406030204" pitchFamily="18" charset="0"/>
                                    <a:ea typeface="+mn-ea"/>
                                    <a:cs typeface="+mn-cs"/>
                                  </a:rPr>
                                  <m:t>2</m:t>
                                </m:r>
                              </m:sup>
                            </m:sSup>
                          </m:num>
                          <m:den>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𝜆</m:t>
                                </m:r>
                              </m:e>
                              <m:sup>
                                <m:r>
                                  <a:rPr lang="en-US" sz="1100" b="0" i="1">
                                    <a:solidFill>
                                      <a:schemeClr val="tx1"/>
                                    </a:solidFill>
                                    <a:effectLst/>
                                    <a:latin typeface="Cambria Math" panose="02040503050406030204" pitchFamily="18" charset="0"/>
                                    <a:ea typeface="+mn-ea"/>
                                    <a:cs typeface="+mn-cs"/>
                                  </a:rPr>
                                  <m:t>2</m:t>
                                </m:r>
                              </m:sup>
                            </m:sSup>
                          </m:den>
                        </m:f>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Cambria Math" panose="02040503050406030204" pitchFamily="18" charset="0"/>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𝐸</m:t>
                            </m:r>
                          </m:e>
                          <m:sub>
                            <m:r>
                              <a:rPr lang="en-US" sz="1100" b="0" i="1">
                                <a:solidFill>
                                  <a:schemeClr val="tx1"/>
                                </a:solidFill>
                                <a:effectLst/>
                                <a:latin typeface="Cambria Math" panose="02040503050406030204" pitchFamily="18" charset="0"/>
                                <a:ea typeface="Cambria Math" panose="02040503050406030204" pitchFamily="18" charset="0"/>
                                <a:cs typeface="+mn-cs"/>
                              </a:rPr>
                              <m:t>𝑠</m:t>
                            </m:r>
                          </m:sub>
                        </m:sSub>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Cambria Math" panose="02040503050406030204" pitchFamily="18" charset="0"/>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𝐶</m:t>
                            </m:r>
                          </m:e>
                          <m:sub>
                            <m:r>
                              <a:rPr lang="en-US" sz="1100" b="0" i="1">
                                <a:solidFill>
                                  <a:schemeClr val="tx1"/>
                                </a:solidFill>
                                <a:effectLst/>
                                <a:latin typeface="Cambria Math" panose="02040503050406030204" pitchFamily="18" charset="0"/>
                                <a:ea typeface="Cambria Math" panose="02040503050406030204" pitchFamily="18" charset="0"/>
                                <a:cs typeface="+mn-cs"/>
                              </a:rPr>
                              <m:t>𝐵𝑇</m:t>
                            </m:r>
                          </m:sub>
                        </m:sSub>
                      </m:e>
                    </m:d>
                  </m:oMath>
                </m:oMathPara>
              </a14:m>
              <a:endParaRPr lang="en-US" sz="1100"/>
            </a:p>
          </xdr:txBody>
        </xdr:sp>
      </mc:Choice>
      <mc:Fallback xmlns="">
        <xdr:sp macro="" textlink="">
          <xdr:nvSpPr>
            <xdr:cNvPr id="6" name="TextBox 5"/>
            <xdr:cNvSpPr txBox="1"/>
          </xdr:nvSpPr>
          <xdr:spPr>
            <a:xfrm>
              <a:off x="3223846" y="2896182"/>
              <a:ext cx="2543325"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chemeClr val="tx1"/>
                  </a:solidFill>
                  <a:effectLst/>
                  <a:latin typeface="Cambria Math" panose="02040503050406030204" pitchFamily="18" charset="0"/>
                  <a:ea typeface="+mn-ea"/>
                  <a:cs typeface="+mn-cs"/>
                </a:rPr>
                <a:t>4∙𝑆_0</a:t>
              </a:r>
              <a:r>
                <a:rPr lang="en-US" sz="1100" b="0" i="0">
                  <a:latin typeface="Cambria Math" panose="02040503050406030204" pitchFamily="18" charset="0"/>
                  <a:ea typeface="Cambria Math" panose="02040503050406030204" pitchFamily="18" charset="0"/>
                </a:rPr>
                <a:t>=𝜋^2/𝜆^2 ∙(𝐺∙𝐽−𝑓〖∙𝐼〗_𝑝+</a:t>
              </a:r>
              <a:r>
                <a:rPr lang="en-US" sz="1100" b="0" i="0">
                  <a:solidFill>
                    <a:schemeClr val="tx1"/>
                  </a:solidFill>
                  <a:effectLst/>
                  <a:latin typeface="Cambria Math" panose="02040503050406030204" pitchFamily="18" charset="0"/>
                  <a:ea typeface="+mn-ea"/>
                  <a:cs typeface="+mn-cs"/>
                </a:rPr>
                <a:t>𝜋^2/𝜆^2 </a:t>
              </a:r>
              <a:r>
                <a:rPr lang="en-US" sz="1100" b="0" i="0">
                  <a:solidFill>
                    <a:schemeClr val="tx1"/>
                  </a:solidFill>
                  <a:effectLst/>
                  <a:latin typeface="Cambria Math" panose="02040503050406030204" pitchFamily="18" charset="0"/>
                  <a:ea typeface="Cambria Math" panose="02040503050406030204" pitchFamily="18" charset="0"/>
                  <a:cs typeface="+mn-cs"/>
                </a:rPr>
                <a:t>∙𝐸_𝑠∙𝐶_𝐵𝑇 )</a:t>
              </a:r>
              <a:endParaRPr lang="en-US" sz="1100"/>
            </a:p>
          </xdr:txBody>
        </xdr:sp>
      </mc:Fallback>
    </mc:AlternateContent>
    <xdr:clientData/>
  </xdr:oneCellAnchor>
  <xdr:oneCellAnchor>
    <xdr:from>
      <xdr:col>1</xdr:col>
      <xdr:colOff>87923</xdr:colOff>
      <xdr:row>21</xdr:row>
      <xdr:rowOff>68493</xdr:rowOff>
    </xdr:from>
    <xdr:ext cx="2493824" cy="388120"/>
    <mc:AlternateContent xmlns:mc="http://schemas.openxmlformats.org/markup-compatibility/2006" xmlns:a14="http://schemas.microsoft.com/office/drawing/2010/main">
      <mc:Choice Requires="a14">
        <xdr:sp macro="" textlink="">
          <xdr:nvSpPr>
            <xdr:cNvPr id="7" name="TextBox 6"/>
            <xdr:cNvSpPr txBox="1"/>
          </xdr:nvSpPr>
          <xdr:spPr>
            <a:xfrm>
              <a:off x="715108" y="3778847"/>
              <a:ext cx="2493824"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𝜀</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𝜋</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𝑏</m:t>
                        </m:r>
                      </m:num>
                      <m:den>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𝜆</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𝐷</m:t>
                        </m:r>
                      </m:den>
                    </m:f>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𝐺</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𝐽</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𝑓</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𝐼</m:t>
                            </m:r>
                          </m:e>
                          <m:sub>
                            <m:r>
                              <a:rPr lang="en-US" sz="1100" b="0" i="1">
                                <a:latin typeface="Cambria Math" panose="02040503050406030204" pitchFamily="18" charset="0"/>
                                <a:ea typeface="Cambria Math" panose="02040503050406030204" pitchFamily="18" charset="0"/>
                              </a:rPr>
                              <m:t>𝑝</m:t>
                            </m:r>
                          </m:sub>
                        </m:sSub>
                        <m:r>
                          <a:rPr lang="en-US" sz="1100" b="0" i="1">
                            <a:latin typeface="Cambria Math" panose="02040503050406030204" pitchFamily="18" charset="0"/>
                            <a:ea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𝜋</m:t>
                                </m:r>
                              </m:e>
                              <m:sup>
                                <m:r>
                                  <a:rPr lang="en-US" sz="1100" b="0" i="1">
                                    <a:solidFill>
                                      <a:schemeClr val="tx1"/>
                                    </a:solidFill>
                                    <a:effectLst/>
                                    <a:latin typeface="Cambria Math" panose="02040503050406030204" pitchFamily="18" charset="0"/>
                                    <a:ea typeface="+mn-ea"/>
                                    <a:cs typeface="+mn-cs"/>
                                  </a:rPr>
                                  <m:t>2</m:t>
                                </m:r>
                              </m:sup>
                            </m:sSup>
                          </m:num>
                          <m:den>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𝜆</m:t>
                                </m:r>
                              </m:e>
                              <m:sup>
                                <m:r>
                                  <a:rPr lang="en-US" sz="1100" b="0" i="1">
                                    <a:solidFill>
                                      <a:schemeClr val="tx1"/>
                                    </a:solidFill>
                                    <a:effectLst/>
                                    <a:latin typeface="Cambria Math" panose="02040503050406030204" pitchFamily="18" charset="0"/>
                                    <a:ea typeface="+mn-ea"/>
                                    <a:cs typeface="+mn-cs"/>
                                  </a:rPr>
                                  <m:t>2</m:t>
                                </m:r>
                              </m:sup>
                            </m:sSup>
                          </m:den>
                        </m:f>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𝐸</m:t>
                            </m:r>
                          </m:e>
                          <m:sub>
                            <m:r>
                              <a:rPr lang="en-US" sz="1100" b="0" i="1">
                                <a:solidFill>
                                  <a:schemeClr val="tx1"/>
                                </a:solidFill>
                                <a:effectLst/>
                                <a:latin typeface="Cambria Math" panose="02040503050406030204" pitchFamily="18" charset="0"/>
                                <a:ea typeface="+mn-ea"/>
                                <a:cs typeface="+mn-cs"/>
                              </a:rPr>
                              <m:t>𝑠</m:t>
                            </m:r>
                          </m:sub>
                        </m:sSub>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Cambria Math" panose="02040503050406030204" pitchFamily="18" charset="0"/>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𝐶</m:t>
                            </m:r>
                          </m:e>
                          <m:sub>
                            <m:r>
                              <a:rPr lang="en-US" sz="1100" b="0" i="1">
                                <a:solidFill>
                                  <a:schemeClr val="tx1"/>
                                </a:solidFill>
                                <a:effectLst/>
                                <a:latin typeface="Cambria Math" panose="02040503050406030204" pitchFamily="18" charset="0"/>
                                <a:ea typeface="Cambria Math" panose="02040503050406030204" pitchFamily="18" charset="0"/>
                                <a:cs typeface="+mn-cs"/>
                              </a:rPr>
                              <m:t>𝐵𝑇</m:t>
                            </m:r>
                          </m:sub>
                        </m:sSub>
                      </m:e>
                    </m:d>
                  </m:oMath>
                </m:oMathPara>
              </a14:m>
              <a:endParaRPr lang="en-US" sz="1100"/>
            </a:p>
          </xdr:txBody>
        </xdr:sp>
      </mc:Choice>
      <mc:Fallback xmlns="">
        <xdr:sp macro="" textlink="">
          <xdr:nvSpPr>
            <xdr:cNvPr id="7" name="TextBox 6"/>
            <xdr:cNvSpPr txBox="1"/>
          </xdr:nvSpPr>
          <xdr:spPr>
            <a:xfrm>
              <a:off x="715108" y="3778847"/>
              <a:ext cx="2493824"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𝜀</a:t>
              </a:r>
              <a:r>
                <a:rPr lang="en-US" sz="1100" b="0" i="0">
                  <a:latin typeface="Cambria Math" panose="02040503050406030204" pitchFamily="18" charset="0"/>
                  <a:ea typeface="Cambria Math" panose="02040503050406030204" pitchFamily="18" charset="0"/>
                </a:rPr>
                <a:t>=(𝜋^2∙𝑏)/(𝜆^2∙𝐷)∙(𝐺∙𝐽−𝑓〖∙𝐼〗_𝑝+</a:t>
              </a:r>
              <a:r>
                <a:rPr lang="en-US" sz="1100" b="0" i="0">
                  <a:solidFill>
                    <a:schemeClr val="tx1"/>
                  </a:solidFill>
                  <a:effectLst/>
                  <a:latin typeface="Cambria Math" panose="02040503050406030204" pitchFamily="18" charset="0"/>
                  <a:ea typeface="+mn-ea"/>
                  <a:cs typeface="+mn-cs"/>
                </a:rPr>
                <a:t>𝜋^2/𝜆^2 </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𝐸_𝑠</a:t>
              </a:r>
              <a:r>
                <a:rPr lang="en-US" sz="1100" b="0" i="0">
                  <a:solidFill>
                    <a:schemeClr val="tx1"/>
                  </a:solidFill>
                  <a:effectLst/>
                  <a:latin typeface="Cambria Math" panose="02040503050406030204" pitchFamily="18" charset="0"/>
                  <a:ea typeface="Cambria Math" panose="02040503050406030204" pitchFamily="18" charset="0"/>
                  <a:cs typeface="+mn-cs"/>
                </a:rPr>
                <a:t>∙𝐶_𝐵𝑇 )</a:t>
              </a:r>
              <a:endParaRPr lang="en-US" sz="1100"/>
            </a:p>
          </xdr:txBody>
        </xdr:sp>
      </mc:Fallback>
    </mc:AlternateContent>
    <xdr:clientData/>
  </xdr:oneCellAnchor>
  <xdr:oneCellAnchor>
    <xdr:from>
      <xdr:col>2</xdr:col>
      <xdr:colOff>32365</xdr:colOff>
      <xdr:row>17</xdr:row>
      <xdr:rowOff>72806</xdr:rowOff>
    </xdr:from>
    <xdr:ext cx="1085938" cy="370486"/>
    <mc:AlternateContent xmlns:mc="http://schemas.openxmlformats.org/markup-compatibility/2006" xmlns:a14="http://schemas.microsoft.com/office/drawing/2010/main">
      <mc:Choice Requires="a14">
        <xdr:sp macro="" textlink="">
          <xdr:nvSpPr>
            <xdr:cNvPr id="8" name="TextBox 7"/>
            <xdr:cNvSpPr txBox="1"/>
          </xdr:nvSpPr>
          <xdr:spPr>
            <a:xfrm>
              <a:off x="5090873" y="2903929"/>
              <a:ext cx="1085938" cy="3704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ea typeface="Cambria Math" panose="02040503050406030204" pitchFamily="18" charset="0"/>
                      </a:rPr>
                      <m:t>𝐷</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𝐸</m:t>
                            </m:r>
                          </m:e>
                          <m:sub>
                            <m:r>
                              <a:rPr lang="en-US" sz="1100" b="0" i="1">
                                <a:latin typeface="Cambria Math" panose="02040503050406030204" pitchFamily="18" charset="0"/>
                                <a:ea typeface="Cambria Math" panose="02040503050406030204" pitchFamily="18" charset="0"/>
                              </a:rPr>
                              <m:t>𝑝</m:t>
                            </m:r>
                          </m:sub>
                        </m:sSub>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𝑡</m:t>
                            </m:r>
                          </m:e>
                          <m:sup>
                            <m:r>
                              <a:rPr lang="en-US" sz="1100" b="0" i="1">
                                <a:latin typeface="Cambria Math" panose="02040503050406030204" pitchFamily="18" charset="0"/>
                                <a:ea typeface="Cambria Math" panose="02040503050406030204" pitchFamily="18" charset="0"/>
                              </a:rPr>
                              <m:t>3</m:t>
                            </m:r>
                          </m:sup>
                        </m:sSup>
                      </m:num>
                      <m:den>
                        <m:r>
                          <a:rPr lang="en-US" sz="1100" b="0" i="1">
                            <a:latin typeface="Cambria Math" panose="02040503050406030204" pitchFamily="18" charset="0"/>
                            <a:ea typeface="Cambria Math" panose="02040503050406030204" pitchFamily="18" charset="0"/>
                          </a:rPr>
                          <m:t>12∙</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1−</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𝜇</m:t>
                                </m:r>
                              </m:e>
                              <m:sup>
                                <m:r>
                                  <a:rPr lang="en-US" sz="1100" b="0" i="1">
                                    <a:latin typeface="Cambria Math" panose="02040503050406030204" pitchFamily="18" charset="0"/>
                                    <a:ea typeface="Cambria Math" panose="02040503050406030204" pitchFamily="18" charset="0"/>
                                  </a:rPr>
                                  <m:t>2</m:t>
                                </m:r>
                              </m:sup>
                            </m:sSup>
                          </m:e>
                        </m:d>
                      </m:den>
                    </m:f>
                  </m:oMath>
                </m:oMathPara>
              </a14:m>
              <a:endParaRPr lang="en-US" sz="1100"/>
            </a:p>
          </xdr:txBody>
        </xdr:sp>
      </mc:Choice>
      <mc:Fallback xmlns="">
        <xdr:sp macro="" textlink="">
          <xdr:nvSpPr>
            <xdr:cNvPr id="8" name="TextBox 7"/>
            <xdr:cNvSpPr txBox="1"/>
          </xdr:nvSpPr>
          <xdr:spPr>
            <a:xfrm>
              <a:off x="5090873" y="2903929"/>
              <a:ext cx="1085938" cy="3704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ea typeface="Cambria Math" panose="02040503050406030204" pitchFamily="18" charset="0"/>
                </a:rPr>
                <a:t>𝐷=(𝐸_𝑝∙𝑡^3)/(12∙(1−𝜇^2 ) )</a:t>
              </a:r>
              <a:endParaRPr lang="en-US" sz="1100"/>
            </a:p>
          </xdr:txBody>
        </xdr:sp>
      </mc:Fallback>
    </mc:AlternateContent>
    <xdr:clientData/>
  </xdr:oneCellAnchor>
  <xdr:twoCellAnchor editAs="oneCell">
    <xdr:from>
      <xdr:col>1</xdr:col>
      <xdr:colOff>195943</xdr:colOff>
      <xdr:row>69</xdr:row>
      <xdr:rowOff>77624</xdr:rowOff>
    </xdr:from>
    <xdr:to>
      <xdr:col>8</xdr:col>
      <xdr:colOff>174172</xdr:colOff>
      <xdr:row>80</xdr:row>
      <xdr:rowOff>94843</xdr:rowOff>
    </xdr:to>
    <xdr:pic>
      <xdr:nvPicPr>
        <xdr:cNvPr id="9" name="Picture 8"/>
        <xdr:cNvPicPr>
          <a:picLocks noChangeAspect="1"/>
        </xdr:cNvPicPr>
      </xdr:nvPicPr>
      <xdr:blipFill>
        <a:blip xmlns:r="http://schemas.openxmlformats.org/officeDocument/2006/relationships" r:embed="rId5"/>
        <a:stretch>
          <a:fillRect/>
        </a:stretch>
      </xdr:blipFill>
      <xdr:spPr>
        <a:xfrm>
          <a:off x="816429" y="12432910"/>
          <a:ext cx="4376057" cy="1933104"/>
        </a:xfrm>
        <a:prstGeom prst="rect">
          <a:avLst/>
        </a:prstGeom>
      </xdr:spPr>
    </xdr:pic>
    <xdr:clientData/>
  </xdr:twoCellAnchor>
  <xdr:twoCellAnchor>
    <xdr:from>
      <xdr:col>0</xdr:col>
      <xdr:colOff>40822</xdr:colOff>
      <xdr:row>62</xdr:row>
      <xdr:rowOff>40821</xdr:rowOff>
    </xdr:from>
    <xdr:to>
      <xdr:col>4</xdr:col>
      <xdr:colOff>66675</xdr:colOff>
      <xdr:row>65</xdr:row>
      <xdr:rowOff>145236</xdr:rowOff>
    </xdr:to>
    <xdr:grpSp>
      <xdr:nvGrpSpPr>
        <xdr:cNvPr id="11" name="Group 10"/>
        <xdr:cNvGrpSpPr/>
      </xdr:nvGrpSpPr>
      <xdr:grpSpPr>
        <a:xfrm>
          <a:off x="40822" y="11300492"/>
          <a:ext cx="2571829" cy="642297"/>
          <a:chOff x="40822" y="1267641"/>
          <a:chExt cx="2570933" cy="630195"/>
        </a:xfrm>
      </xdr:grpSpPr>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3</xdr:col>
      <xdr:colOff>124854</xdr:colOff>
      <xdr:row>85</xdr:row>
      <xdr:rowOff>139261</xdr:rowOff>
    </xdr:from>
    <xdr:ext cx="399468" cy="338619"/>
    <mc:AlternateContent xmlns:mc="http://schemas.openxmlformats.org/markup-compatibility/2006" xmlns:a14="http://schemas.microsoft.com/office/drawing/2010/main">
      <mc:Choice Requires="a14">
        <xdr:sp macro="" textlink="">
          <xdr:nvSpPr>
            <xdr:cNvPr id="20" name="TextBox 19"/>
            <xdr:cNvSpPr txBox="1"/>
          </xdr:nvSpPr>
          <xdr:spPr>
            <a:xfrm>
              <a:off x="1391351" y="8043040"/>
              <a:ext cx="399468"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𝐼</m:t>
                            </m:r>
                          </m:e>
                          <m:sub>
                            <m:r>
                              <a:rPr lang="en-US" sz="1100" b="0" i="1">
                                <a:latin typeface="Cambria Math" panose="02040503050406030204" pitchFamily="18" charset="0"/>
                              </a:rPr>
                              <m:t>𝐹</m:t>
                            </m:r>
                          </m:sub>
                        </m:sSub>
                        <m:r>
                          <a:rPr lang="en-US" sz="1100" i="1">
                            <a:latin typeface="Cambria Math" panose="02040503050406030204" pitchFamily="18" charset="0"/>
                            <a:ea typeface="Cambria Math" panose="02040503050406030204" pitchFamily="18" charset="0"/>
                          </a:rPr>
                          <m:t>∙</m:t>
                        </m:r>
                        <m:sSup>
                          <m:sSupPr>
                            <m:ctrlPr>
                              <a:rPr lang="en-US" sz="110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rPr>
                          <m:t>2</m:t>
                        </m:r>
                      </m:den>
                    </m:f>
                  </m:oMath>
                </m:oMathPara>
              </a14:m>
              <a:endParaRPr lang="en-US" sz="1100"/>
            </a:p>
          </xdr:txBody>
        </xdr:sp>
      </mc:Choice>
      <mc:Fallback xmlns="">
        <xdr:sp macro="" textlink="">
          <xdr:nvSpPr>
            <xdr:cNvPr id="20" name="TextBox 19"/>
            <xdr:cNvSpPr txBox="1"/>
          </xdr:nvSpPr>
          <xdr:spPr>
            <a:xfrm>
              <a:off x="1391351" y="8043040"/>
              <a:ext cx="399468" cy="338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𝐼_𝐹</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ℎ^2)/</a:t>
              </a:r>
              <a:r>
                <a:rPr lang="en-US" sz="1100" b="0" i="0">
                  <a:latin typeface="Cambria Math" panose="02040503050406030204" pitchFamily="18" charset="0"/>
                </a:rPr>
                <a:t>2</a:t>
              </a:r>
              <a:endParaRPr lang="en-US" sz="1100"/>
            </a:p>
          </xdr:txBody>
        </xdr:sp>
      </mc:Fallback>
    </mc:AlternateContent>
    <xdr:clientData/>
  </xdr:oneCellAnchor>
  <xdr:oneCellAnchor>
    <xdr:from>
      <xdr:col>2</xdr:col>
      <xdr:colOff>431535</xdr:colOff>
      <xdr:row>88</xdr:row>
      <xdr:rowOff>86709</xdr:rowOff>
    </xdr:from>
    <xdr:ext cx="1068369" cy="343299"/>
    <mc:AlternateContent xmlns:mc="http://schemas.openxmlformats.org/markup-compatibility/2006" xmlns:a14="http://schemas.microsoft.com/office/drawing/2010/main">
      <mc:Choice Requires="a14">
        <xdr:sp macro="" textlink="">
          <xdr:nvSpPr>
            <xdr:cNvPr id="22" name="TextBox 21"/>
            <xdr:cNvSpPr txBox="1"/>
          </xdr:nvSpPr>
          <xdr:spPr>
            <a:xfrm>
              <a:off x="1056901" y="8510750"/>
              <a:ext cx="1068369" cy="343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𝐼</m:t>
                            </m:r>
                          </m:e>
                          <m:sub>
                            <m:r>
                              <a:rPr lang="en-US" sz="1100" b="0" i="1">
                                <a:latin typeface="Cambria Math" panose="02040503050406030204" pitchFamily="18" charset="0"/>
                              </a:rPr>
                              <m:t>𝐹</m:t>
                            </m:r>
                          </m:sub>
                        </m:sSub>
                        <m:r>
                          <a:rPr lang="en-US" sz="1100" i="1">
                            <a:latin typeface="Cambria Math" panose="02040503050406030204" pitchFamily="18" charset="0"/>
                            <a:ea typeface="Cambria Math" panose="02040503050406030204" pitchFamily="18" charset="0"/>
                          </a:rPr>
                          <m:t>∙</m:t>
                        </m:r>
                        <m:sSup>
                          <m:sSupPr>
                            <m:ctrlPr>
                              <a:rPr lang="en-US" sz="110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rPr>
                          <m:t>2</m:t>
                        </m:r>
                      </m:den>
                    </m:f>
                    <m:d>
                      <m:dPr>
                        <m:ctrlPr>
                          <a:rPr lang="en-US" sz="1100" i="1">
                            <a:latin typeface="Cambria Math" panose="02040503050406030204" pitchFamily="18" charset="0"/>
                          </a:rPr>
                        </m:ctrlPr>
                      </m:dPr>
                      <m:e>
                        <m:r>
                          <a:rPr lang="en-US" sz="1100" b="0" i="1">
                            <a:latin typeface="Cambria Math" panose="02040503050406030204" pitchFamily="18" charset="0"/>
                          </a:rPr>
                          <m:t>4−6</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𝑒</m:t>
                            </m:r>
                          </m:num>
                          <m:den>
                            <m:r>
                              <a:rPr lang="en-US" sz="1100" b="0" i="1">
                                <a:latin typeface="Cambria Math" panose="02040503050406030204" pitchFamily="18" charset="0"/>
                                <a:ea typeface="Cambria Math" panose="02040503050406030204" pitchFamily="18" charset="0"/>
                              </a:rPr>
                              <m:t>𝑏</m:t>
                            </m:r>
                          </m:den>
                        </m:f>
                      </m:e>
                    </m:d>
                  </m:oMath>
                </m:oMathPara>
              </a14:m>
              <a:endParaRPr lang="en-US" sz="1100"/>
            </a:p>
          </xdr:txBody>
        </xdr:sp>
      </mc:Choice>
      <mc:Fallback xmlns="">
        <xdr:sp macro="" textlink="">
          <xdr:nvSpPr>
            <xdr:cNvPr id="22" name="TextBox 21"/>
            <xdr:cNvSpPr txBox="1"/>
          </xdr:nvSpPr>
          <xdr:spPr>
            <a:xfrm>
              <a:off x="1056901" y="8510750"/>
              <a:ext cx="1068369" cy="343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𝐼_𝐹</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ℎ^2)/</a:t>
              </a:r>
              <a:r>
                <a:rPr lang="en-US" sz="1100" b="0" i="0">
                  <a:latin typeface="Cambria Math" panose="02040503050406030204" pitchFamily="18" charset="0"/>
                </a:rPr>
                <a:t>2 </a:t>
              </a:r>
              <a:r>
                <a:rPr lang="en-US" sz="1100" i="0">
                  <a:latin typeface="Cambria Math" panose="02040503050406030204" pitchFamily="18" charset="0"/>
                </a:rPr>
                <a:t>(</a:t>
              </a:r>
              <a:r>
                <a:rPr lang="en-US" sz="1100" b="0" i="0">
                  <a:latin typeface="Cambria Math" panose="02040503050406030204" pitchFamily="18" charset="0"/>
                </a:rPr>
                <a:t>4−6</a:t>
              </a:r>
              <a:r>
                <a:rPr lang="en-US" sz="1100" b="0" i="0">
                  <a:latin typeface="Cambria Math" panose="02040503050406030204" pitchFamily="18" charset="0"/>
                  <a:ea typeface="Cambria Math" panose="02040503050406030204" pitchFamily="18" charset="0"/>
                </a:rPr>
                <a:t>∙𝑒/𝑏)</a:t>
              </a:r>
              <a:endParaRPr lang="en-US" sz="1100"/>
            </a:p>
          </xdr:txBody>
        </xdr:sp>
      </mc:Fallback>
    </mc:AlternateContent>
    <xdr:clientData/>
  </xdr:oneCellAnchor>
  <xdr:oneCellAnchor>
    <xdr:from>
      <xdr:col>2</xdr:col>
      <xdr:colOff>378315</xdr:colOff>
      <xdr:row>91</xdr:row>
      <xdr:rowOff>147143</xdr:rowOff>
    </xdr:from>
    <xdr:ext cx="1174809" cy="383823"/>
    <mc:AlternateContent xmlns:mc="http://schemas.openxmlformats.org/markup-compatibility/2006" xmlns:a14="http://schemas.microsoft.com/office/drawing/2010/main">
      <mc:Choice Requires="a14">
        <xdr:sp macro="" textlink="">
          <xdr:nvSpPr>
            <xdr:cNvPr id="23" name="TextBox 22"/>
            <xdr:cNvSpPr txBox="1"/>
          </xdr:nvSpPr>
          <xdr:spPr>
            <a:xfrm>
              <a:off x="1003681" y="9091446"/>
              <a:ext cx="1174809"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𝐼</m:t>
                            </m:r>
                          </m:e>
                          <m:sub>
                            <m:r>
                              <a:rPr lang="en-US" sz="1100" b="0" i="1">
                                <a:latin typeface="Cambria Math" panose="02040503050406030204" pitchFamily="18" charset="0"/>
                              </a:rPr>
                              <m:t>𝐹</m:t>
                            </m:r>
                          </m:sub>
                        </m:sSub>
                        <m:r>
                          <a:rPr lang="en-US" sz="1100" i="1">
                            <a:latin typeface="Cambria Math" panose="02040503050406030204" pitchFamily="18" charset="0"/>
                            <a:ea typeface="Cambria Math" panose="02040503050406030204" pitchFamily="18" charset="0"/>
                          </a:rPr>
                          <m:t>∙</m:t>
                        </m:r>
                        <m:sSup>
                          <m:sSupPr>
                            <m:ctrlPr>
                              <a:rPr lang="en-US" sz="110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h</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rPr>
                          <m:t>2</m:t>
                        </m:r>
                      </m:den>
                    </m:f>
                    <m:d>
                      <m:dPr>
                        <m:ctrlPr>
                          <a:rPr lang="en-US" sz="1100" i="1">
                            <a:latin typeface="Cambria Math" panose="02040503050406030204" pitchFamily="18" charset="0"/>
                          </a:rPr>
                        </m:ctrlPr>
                      </m:dPr>
                      <m:e>
                        <m:r>
                          <a:rPr lang="en-US" sz="1100" b="0" i="1">
                            <a:latin typeface="Cambria Math" panose="02040503050406030204" pitchFamily="18" charset="0"/>
                          </a:rPr>
                          <m:t>4−6</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𝐴</m:t>
                                </m:r>
                              </m:e>
                              <m:sub>
                                <m:r>
                                  <a:rPr lang="en-US" sz="1100" b="0" i="1">
                                    <a:latin typeface="Cambria Math" panose="02040503050406030204" pitchFamily="18" charset="0"/>
                                    <a:ea typeface="Cambria Math" panose="02040503050406030204" pitchFamily="18" charset="0"/>
                                  </a:rPr>
                                  <m:t>𝐹</m:t>
                                </m:r>
                              </m:sub>
                            </m:sSub>
                          </m:num>
                          <m:den>
                            <m:r>
                              <a:rPr lang="en-US" sz="1100" b="0" i="1">
                                <a:latin typeface="Cambria Math" panose="02040503050406030204" pitchFamily="18" charset="0"/>
                                <a:ea typeface="Cambria Math" panose="02040503050406030204" pitchFamily="18" charset="0"/>
                              </a:rPr>
                              <m:t>𝐴</m:t>
                            </m:r>
                          </m:den>
                        </m:f>
                      </m:e>
                    </m:d>
                  </m:oMath>
                </m:oMathPara>
              </a14:m>
              <a:endParaRPr lang="en-US" sz="1100"/>
            </a:p>
          </xdr:txBody>
        </xdr:sp>
      </mc:Choice>
      <mc:Fallback xmlns="">
        <xdr:sp macro="" textlink="">
          <xdr:nvSpPr>
            <xdr:cNvPr id="23" name="TextBox 22"/>
            <xdr:cNvSpPr txBox="1"/>
          </xdr:nvSpPr>
          <xdr:spPr>
            <a:xfrm>
              <a:off x="1003681" y="9091446"/>
              <a:ext cx="1174809"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𝐼_𝐹</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ℎ^2)/</a:t>
              </a:r>
              <a:r>
                <a:rPr lang="en-US" sz="1100" b="0" i="0">
                  <a:latin typeface="Cambria Math" panose="02040503050406030204" pitchFamily="18" charset="0"/>
                </a:rPr>
                <a:t>2 </a:t>
              </a:r>
              <a:r>
                <a:rPr lang="en-US" sz="1100" i="0">
                  <a:latin typeface="Cambria Math" panose="02040503050406030204" pitchFamily="18" charset="0"/>
                </a:rPr>
                <a:t>(</a:t>
              </a:r>
              <a:r>
                <a:rPr lang="en-US" sz="1100" b="0" i="0">
                  <a:latin typeface="Cambria Math" panose="02040503050406030204" pitchFamily="18" charset="0"/>
                </a:rPr>
                <a:t>4−6</a:t>
              </a:r>
              <a:r>
                <a:rPr lang="en-US" sz="1100" b="0" i="0">
                  <a:latin typeface="Cambria Math" panose="02040503050406030204" pitchFamily="18" charset="0"/>
                  <a:ea typeface="Cambria Math" panose="02040503050406030204" pitchFamily="18" charset="0"/>
                </a:rPr>
                <a:t>∙𝐴_𝐹/𝐴)</a:t>
              </a:r>
              <a:endParaRPr lang="en-US" sz="1100"/>
            </a:p>
          </xdr:txBody>
        </xdr:sp>
      </mc:Fallback>
    </mc:AlternateContent>
    <xdr:clientData/>
  </xdr:oneCellAnchor>
  <xdr:twoCellAnchor>
    <xdr:from>
      <xdr:col>5</xdr:col>
      <xdr:colOff>208540</xdr:colOff>
      <xdr:row>47</xdr:row>
      <xdr:rowOff>11129</xdr:rowOff>
    </xdr:from>
    <xdr:to>
      <xdr:col>6</xdr:col>
      <xdr:colOff>339949</xdr:colOff>
      <xdr:row>48</xdr:row>
      <xdr:rowOff>5781</xdr:rowOff>
    </xdr:to>
    <xdr:pic>
      <xdr:nvPicPr>
        <xdr:cNvPr id="21" name="Picture 20"/>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65397" y="8338700"/>
          <a:ext cx="751895" cy="168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326316</xdr:colOff>
      <xdr:row>53</xdr:row>
      <xdr:rowOff>8965</xdr:rowOff>
    </xdr:from>
    <xdr:to>
      <xdr:col>5</xdr:col>
      <xdr:colOff>528470</xdr:colOff>
      <xdr:row>53</xdr:row>
      <xdr:rowOff>168985</xdr:rowOff>
    </xdr:to>
    <xdr:pic>
      <xdr:nvPicPr>
        <xdr:cNvPr id="27" name="Picture 2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71396" y="9450145"/>
          <a:ext cx="826994"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175261</xdr:colOff>
      <xdr:row>55</xdr:row>
      <xdr:rowOff>8964</xdr:rowOff>
    </xdr:from>
    <xdr:to>
      <xdr:col>7</xdr:col>
      <xdr:colOff>4034</xdr:colOff>
      <xdr:row>55</xdr:row>
      <xdr:rowOff>168984</xdr:rowOff>
    </xdr:to>
    <xdr:pic>
      <xdr:nvPicPr>
        <xdr:cNvPr id="31" name="Picture 30"/>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45181" y="9800664"/>
          <a:ext cx="1078453"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405845</xdr:colOff>
      <xdr:row>49</xdr:row>
      <xdr:rowOff>30737</xdr:rowOff>
    </xdr:from>
    <xdr:to>
      <xdr:col>8</xdr:col>
      <xdr:colOff>167704</xdr:colOff>
      <xdr:row>50</xdr:row>
      <xdr:rowOff>23117</xdr:rowOff>
    </xdr:to>
    <xdr:pic>
      <xdr:nvPicPr>
        <xdr:cNvPr id="33" name="Picture 32"/>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83188" y="8728423"/>
          <a:ext cx="1002830" cy="166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314325</xdr:colOff>
      <xdr:row>41</xdr:row>
      <xdr:rowOff>38100</xdr:rowOff>
    </xdr:from>
    <xdr:to>
      <xdr:col>27</xdr:col>
      <xdr:colOff>466725</xdr:colOff>
      <xdr:row>41</xdr:row>
      <xdr:rowOff>38100</xdr:rowOff>
    </xdr:to>
    <xdr:sp macro="" textlink="">
      <xdr:nvSpPr>
        <xdr:cNvPr id="35" name="Line 654"/>
        <xdr:cNvSpPr>
          <a:spLocks noChangeShapeType="1"/>
        </xdr:cNvSpPr>
      </xdr:nvSpPr>
      <xdr:spPr bwMode="auto">
        <a:xfrm>
          <a:off x="14327505" y="5143500"/>
          <a:ext cx="152400" cy="0"/>
        </a:xfrm>
        <a:prstGeom prst="line">
          <a:avLst/>
        </a:prstGeom>
        <a:noFill/>
        <a:ln w="9525">
          <a:solidFill>
            <a:srgbClr val="000000"/>
          </a:solidFill>
          <a:round/>
          <a:headEnd/>
          <a:tailEnd/>
        </a:ln>
      </xdr:spPr>
    </xdr:sp>
    <xdr:clientData/>
  </xdr:twoCellAnchor>
  <xdr:twoCellAnchor>
    <xdr:from>
      <xdr:col>29</xdr:col>
      <xdr:colOff>314325</xdr:colOff>
      <xdr:row>41</xdr:row>
      <xdr:rowOff>38100</xdr:rowOff>
    </xdr:from>
    <xdr:to>
      <xdr:col>29</xdr:col>
      <xdr:colOff>466725</xdr:colOff>
      <xdr:row>41</xdr:row>
      <xdr:rowOff>38100</xdr:rowOff>
    </xdr:to>
    <xdr:sp macro="" textlink="">
      <xdr:nvSpPr>
        <xdr:cNvPr id="36" name="Line 655"/>
        <xdr:cNvSpPr>
          <a:spLocks noChangeShapeType="1"/>
        </xdr:cNvSpPr>
      </xdr:nvSpPr>
      <xdr:spPr bwMode="auto">
        <a:xfrm>
          <a:off x="15577185" y="5143500"/>
          <a:ext cx="152400" cy="0"/>
        </a:xfrm>
        <a:prstGeom prst="line">
          <a:avLst/>
        </a:prstGeom>
        <a:noFill/>
        <a:ln w="9525">
          <a:solidFill>
            <a:srgbClr val="000000"/>
          </a:solidFill>
          <a:round/>
          <a:headEnd/>
          <a:tailEnd/>
        </a:ln>
      </xdr:spPr>
    </xdr:sp>
    <xdr:clientData/>
  </xdr:twoCellAnchor>
  <xdr:twoCellAnchor>
    <xdr:from>
      <xdr:col>6</xdr:col>
      <xdr:colOff>370115</xdr:colOff>
      <xdr:row>83</xdr:row>
      <xdr:rowOff>21771</xdr:rowOff>
    </xdr:from>
    <xdr:to>
      <xdr:col>9</xdr:col>
      <xdr:colOff>97971</xdr:colOff>
      <xdr:row>95</xdr:row>
      <xdr:rowOff>163286</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24</xdr:col>
      <xdr:colOff>231495</xdr:colOff>
      <xdr:row>70</xdr:row>
      <xdr:rowOff>38100</xdr:rowOff>
    </xdr:from>
    <xdr:to>
      <xdr:col>24</xdr:col>
      <xdr:colOff>383895</xdr:colOff>
      <xdr:row>70</xdr:row>
      <xdr:rowOff>38100</xdr:rowOff>
    </xdr:to>
    <xdr:sp macro="" textlink="">
      <xdr:nvSpPr>
        <xdr:cNvPr id="38" name="Line 648"/>
        <xdr:cNvSpPr>
          <a:spLocks noChangeShapeType="1"/>
        </xdr:cNvSpPr>
      </xdr:nvSpPr>
      <xdr:spPr bwMode="auto">
        <a:xfrm>
          <a:off x="2136495" y="2865120"/>
          <a:ext cx="152400" cy="0"/>
        </a:xfrm>
        <a:prstGeom prst="line">
          <a:avLst/>
        </a:prstGeom>
        <a:noFill/>
        <a:ln w="9525">
          <a:solidFill>
            <a:srgbClr val="000000"/>
          </a:solidFill>
          <a:round/>
          <a:headEnd/>
          <a:tailEnd/>
        </a:ln>
      </xdr:spPr>
    </xdr:sp>
    <xdr:clientData/>
  </xdr:twoCellAnchor>
  <xdr:twoCellAnchor>
    <xdr:from>
      <xdr:col>25</xdr:col>
      <xdr:colOff>214930</xdr:colOff>
      <xdr:row>70</xdr:row>
      <xdr:rowOff>29816</xdr:rowOff>
    </xdr:from>
    <xdr:to>
      <xdr:col>25</xdr:col>
      <xdr:colOff>367330</xdr:colOff>
      <xdr:row>70</xdr:row>
      <xdr:rowOff>29816</xdr:rowOff>
    </xdr:to>
    <xdr:sp macro="" textlink="">
      <xdr:nvSpPr>
        <xdr:cNvPr id="39" name="Line 649"/>
        <xdr:cNvSpPr>
          <a:spLocks noChangeShapeType="1"/>
        </xdr:cNvSpPr>
      </xdr:nvSpPr>
      <xdr:spPr bwMode="auto">
        <a:xfrm>
          <a:off x="2744770" y="2856836"/>
          <a:ext cx="152400" cy="0"/>
        </a:xfrm>
        <a:prstGeom prst="line">
          <a:avLst/>
        </a:prstGeom>
        <a:noFill/>
        <a:ln w="9525">
          <a:solidFill>
            <a:srgbClr val="000000"/>
          </a:solidFill>
          <a:round/>
          <a:headEnd/>
          <a:tailEnd/>
        </a:ln>
      </xdr:spPr>
    </xdr:sp>
    <xdr:clientData/>
  </xdr:twoCellAnchor>
  <xdr:oneCellAnchor>
    <xdr:from>
      <xdr:col>1</xdr:col>
      <xdr:colOff>381000</xdr:colOff>
      <xdr:row>96</xdr:row>
      <xdr:rowOff>114300</xdr:rowOff>
    </xdr:from>
    <xdr:ext cx="2493824" cy="388120"/>
    <mc:AlternateContent xmlns:mc="http://schemas.openxmlformats.org/markup-compatibility/2006" xmlns:a14="http://schemas.microsoft.com/office/drawing/2010/main">
      <mc:Choice Requires="a14">
        <xdr:sp macro="" textlink="">
          <xdr:nvSpPr>
            <xdr:cNvPr id="70" name="TextBox 69"/>
            <xdr:cNvSpPr txBox="1"/>
          </xdr:nvSpPr>
          <xdr:spPr>
            <a:xfrm>
              <a:off x="1005840" y="17266920"/>
              <a:ext cx="2493824"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𝜀</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𝜋</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𝑏</m:t>
                        </m:r>
                      </m:num>
                      <m:den>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𝜆</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𝐷</m:t>
                        </m:r>
                      </m:den>
                    </m:f>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𝐺</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𝐽</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𝑓</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𝐼</m:t>
                            </m:r>
                          </m:e>
                          <m:sub>
                            <m:r>
                              <a:rPr lang="en-US" sz="1100" b="0" i="1">
                                <a:latin typeface="Cambria Math" panose="02040503050406030204" pitchFamily="18" charset="0"/>
                                <a:ea typeface="Cambria Math" panose="02040503050406030204" pitchFamily="18" charset="0"/>
                              </a:rPr>
                              <m:t>𝑝</m:t>
                            </m:r>
                          </m:sub>
                        </m:sSub>
                        <m:r>
                          <a:rPr lang="en-US" sz="1100" b="0" i="1">
                            <a:latin typeface="Cambria Math" panose="02040503050406030204" pitchFamily="18" charset="0"/>
                            <a:ea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𝜋</m:t>
                                </m:r>
                              </m:e>
                              <m:sup>
                                <m:r>
                                  <a:rPr lang="en-US" sz="1100" b="0" i="1">
                                    <a:solidFill>
                                      <a:schemeClr val="tx1"/>
                                    </a:solidFill>
                                    <a:effectLst/>
                                    <a:latin typeface="Cambria Math" panose="02040503050406030204" pitchFamily="18" charset="0"/>
                                    <a:ea typeface="+mn-ea"/>
                                    <a:cs typeface="+mn-cs"/>
                                  </a:rPr>
                                  <m:t>2</m:t>
                                </m:r>
                              </m:sup>
                            </m:sSup>
                          </m:num>
                          <m:den>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𝜆</m:t>
                                </m:r>
                              </m:e>
                              <m:sup>
                                <m:r>
                                  <a:rPr lang="en-US" sz="1100" b="0" i="1">
                                    <a:solidFill>
                                      <a:schemeClr val="tx1"/>
                                    </a:solidFill>
                                    <a:effectLst/>
                                    <a:latin typeface="Cambria Math" panose="02040503050406030204" pitchFamily="18" charset="0"/>
                                    <a:ea typeface="+mn-ea"/>
                                    <a:cs typeface="+mn-cs"/>
                                  </a:rPr>
                                  <m:t>2</m:t>
                                </m:r>
                              </m:sup>
                            </m:sSup>
                          </m:den>
                        </m:f>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𝐸</m:t>
                            </m:r>
                          </m:e>
                          <m:sub>
                            <m:r>
                              <a:rPr lang="en-US" sz="1100" b="0" i="1">
                                <a:solidFill>
                                  <a:schemeClr val="tx1"/>
                                </a:solidFill>
                                <a:effectLst/>
                                <a:latin typeface="Cambria Math" panose="02040503050406030204" pitchFamily="18" charset="0"/>
                                <a:ea typeface="+mn-ea"/>
                                <a:cs typeface="+mn-cs"/>
                              </a:rPr>
                              <m:t>𝑠</m:t>
                            </m:r>
                          </m:sub>
                        </m:sSub>
                        <m:r>
                          <a:rPr lang="en-US" sz="1100" b="0" i="1">
                            <a:solidFill>
                              <a:schemeClr val="tx1"/>
                            </a:solidFill>
                            <a:effectLst/>
                            <a:latin typeface="Cambria Math" panose="02040503050406030204" pitchFamily="18" charset="0"/>
                            <a:ea typeface="Cambria Math" panose="02040503050406030204" pitchFamily="18" charset="0"/>
                            <a:cs typeface="+mn-cs"/>
                          </a:rPr>
                          <m:t>∙</m:t>
                        </m:r>
                        <m:sSub>
                          <m:sSubPr>
                            <m:ctrlPr>
                              <a:rPr lang="en-US" sz="1100" b="0" i="1">
                                <a:solidFill>
                                  <a:schemeClr val="tx1"/>
                                </a:solidFill>
                                <a:effectLst/>
                                <a:latin typeface="Cambria Math" panose="02040503050406030204" pitchFamily="18" charset="0"/>
                                <a:ea typeface="Cambria Math" panose="02040503050406030204" pitchFamily="18" charset="0"/>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𝐶</m:t>
                            </m:r>
                          </m:e>
                          <m:sub>
                            <m:r>
                              <a:rPr lang="en-US" sz="1100" b="0" i="1">
                                <a:solidFill>
                                  <a:schemeClr val="tx1"/>
                                </a:solidFill>
                                <a:effectLst/>
                                <a:latin typeface="Cambria Math" panose="02040503050406030204" pitchFamily="18" charset="0"/>
                                <a:ea typeface="Cambria Math" panose="02040503050406030204" pitchFamily="18" charset="0"/>
                                <a:cs typeface="+mn-cs"/>
                              </a:rPr>
                              <m:t>𝐵𝑇</m:t>
                            </m:r>
                          </m:sub>
                        </m:sSub>
                      </m:e>
                    </m:d>
                  </m:oMath>
                </m:oMathPara>
              </a14:m>
              <a:endParaRPr lang="en-US" sz="1100"/>
            </a:p>
          </xdr:txBody>
        </xdr:sp>
      </mc:Choice>
      <mc:Fallback xmlns="">
        <xdr:sp macro="" textlink="">
          <xdr:nvSpPr>
            <xdr:cNvPr id="70" name="TextBox 69"/>
            <xdr:cNvSpPr txBox="1"/>
          </xdr:nvSpPr>
          <xdr:spPr>
            <a:xfrm>
              <a:off x="1005840" y="17266920"/>
              <a:ext cx="2493824" cy="38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𝜀</a:t>
              </a:r>
              <a:r>
                <a:rPr lang="en-US" sz="1100" b="0" i="0">
                  <a:latin typeface="Cambria Math" panose="02040503050406030204" pitchFamily="18" charset="0"/>
                  <a:ea typeface="Cambria Math" panose="02040503050406030204" pitchFamily="18" charset="0"/>
                </a:rPr>
                <a:t>=(𝜋^2∙𝑏)/(𝜆^2∙𝐷)∙(𝐺∙𝐽−𝑓〖∙𝐼〗_𝑝+</a:t>
              </a:r>
              <a:r>
                <a:rPr lang="en-US" sz="1100" b="0" i="0">
                  <a:solidFill>
                    <a:schemeClr val="tx1"/>
                  </a:solidFill>
                  <a:effectLst/>
                  <a:latin typeface="Cambria Math" panose="02040503050406030204" pitchFamily="18" charset="0"/>
                  <a:ea typeface="+mn-ea"/>
                  <a:cs typeface="+mn-cs"/>
                </a:rPr>
                <a:t>𝜋^2/𝜆^2 </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𝐸_𝑠</a:t>
              </a:r>
              <a:r>
                <a:rPr lang="en-US" sz="1100" b="0" i="0">
                  <a:solidFill>
                    <a:schemeClr val="tx1"/>
                  </a:solidFill>
                  <a:effectLst/>
                  <a:latin typeface="Cambria Math" panose="02040503050406030204" pitchFamily="18" charset="0"/>
                  <a:ea typeface="Cambria Math" panose="02040503050406030204" pitchFamily="18" charset="0"/>
                  <a:cs typeface="+mn-cs"/>
                </a:rPr>
                <a:t>∙𝐶_𝐵𝑇 )</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xl-viking.com/" TargetMode="External"/><Relationship Id="rId7"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report-735-restraint-provided-a-flat-rectangular-plate-by-a-sturdy-stiffener-along-an-edge-of-the-plate" TargetMode="External"/><Relationship Id="rId1" Type="http://schemas.openxmlformats.org/officeDocument/2006/relationships/hyperlink" Target="http://www.xl-viking.com/" TargetMode="External"/><Relationship Id="rId6" Type="http://schemas.openxmlformats.org/officeDocument/2006/relationships/hyperlink" Target="http://www.abbottaerospace.com/wpdm-package/naca-tn-888-torsion-of-flanged-members-with-cross-sections-restrained-against-warping" TargetMode="External"/><Relationship Id="rId5" Type="http://schemas.openxmlformats.org/officeDocument/2006/relationships/hyperlink" Target="http://www.abbottaerospace.com/wpdm-package/naca-report-735-restraint-provided-a-flat-rectangular-plate-by-a-sturdy-stiffener-along-an-edge-of-the-plate" TargetMode="External"/><Relationship Id="rId4" Type="http://schemas.openxmlformats.org/officeDocument/2006/relationships/hyperlink" Target="http://www.abbottaerospace.com/wpdm-package/naca-report-735-restraint-provided-a-flat-rectangular-plate-by-a-sturdy-stiffener-along-an-edge-of-the-plate"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6" customWidth="1"/>
    <col min="18" max="19" width="5.33203125" style="67" customWidth="1"/>
    <col min="20" max="25" width="9.109375" style="69"/>
    <col min="26" max="16384" width="9.109375" style="20"/>
  </cols>
  <sheetData>
    <row r="1" spans="1:25" s="5" customFormat="1" ht="13.8" x14ac:dyDescent="0.3">
      <c r="A1" s="1"/>
      <c r="B1" s="2" t="s">
        <v>1</v>
      </c>
      <c r="C1" s="3" t="s">
        <v>0</v>
      </c>
      <c r="D1" s="1"/>
      <c r="E1" s="1"/>
      <c r="F1" s="2" t="s">
        <v>11</v>
      </c>
      <c r="G1" s="4"/>
      <c r="H1" s="1"/>
      <c r="I1" s="1"/>
      <c r="J1" s="1"/>
      <c r="K1" s="1"/>
      <c r="M1" s="62"/>
      <c r="N1" s="62"/>
      <c r="O1" s="62"/>
      <c r="P1" s="62"/>
      <c r="Q1" s="62"/>
      <c r="R1" s="62"/>
      <c r="S1" s="62"/>
      <c r="T1" s="63"/>
      <c r="U1" s="63"/>
      <c r="V1" s="63"/>
      <c r="W1" s="64"/>
      <c r="X1" s="65"/>
      <c r="Y1" s="63"/>
    </row>
    <row r="2" spans="1:25" s="5" customFormat="1" ht="13.8" x14ac:dyDescent="0.3">
      <c r="A2" s="1"/>
      <c r="B2" s="2" t="s">
        <v>2</v>
      </c>
      <c r="C2" s="3" t="s">
        <v>10</v>
      </c>
      <c r="D2" s="1"/>
      <c r="E2" s="1"/>
      <c r="F2" s="2" t="s">
        <v>5</v>
      </c>
      <c r="G2" s="3"/>
      <c r="H2" s="1"/>
      <c r="I2" s="1"/>
      <c r="J2" s="1"/>
      <c r="K2" s="1"/>
      <c r="M2" s="62"/>
      <c r="N2" s="62"/>
      <c r="O2" s="62"/>
      <c r="P2" s="62"/>
      <c r="Q2" s="62"/>
      <c r="R2" s="62"/>
      <c r="S2" s="62"/>
      <c r="T2" s="63"/>
      <c r="U2" s="63"/>
      <c r="V2" s="63"/>
      <c r="W2" s="64"/>
      <c r="X2" s="65"/>
      <c r="Y2" s="63"/>
    </row>
    <row r="3" spans="1:25" s="5" customFormat="1" ht="13.8" x14ac:dyDescent="0.3">
      <c r="A3" s="1"/>
      <c r="B3" s="2" t="s">
        <v>3</v>
      </c>
      <c r="C3" s="10"/>
      <c r="D3" s="1"/>
      <c r="E3" s="1"/>
      <c r="F3" s="2" t="s">
        <v>4</v>
      </c>
      <c r="G3" s="3"/>
      <c r="H3" s="1"/>
      <c r="I3" s="1"/>
      <c r="J3" s="1"/>
      <c r="K3" s="1"/>
      <c r="M3" s="62"/>
      <c r="N3" s="62"/>
      <c r="O3" s="62"/>
      <c r="P3" s="62"/>
      <c r="Q3" s="62"/>
      <c r="R3" s="62"/>
      <c r="S3" s="62"/>
      <c r="T3" s="63"/>
      <c r="U3" s="63"/>
      <c r="V3" s="63"/>
      <c r="W3" s="64"/>
      <c r="X3" s="65"/>
      <c r="Y3" s="63"/>
    </row>
    <row r="4" spans="1:25" s="5" customFormat="1" ht="13.8" x14ac:dyDescent="0.3">
      <c r="A4" s="1"/>
      <c r="B4" s="2" t="s">
        <v>22</v>
      </c>
      <c r="C4" s="4"/>
      <c r="D4" s="1"/>
      <c r="E4" s="1"/>
      <c r="F4" s="2" t="s">
        <v>23</v>
      </c>
      <c r="G4" s="3" t="s">
        <v>24</v>
      </c>
      <c r="H4" s="1"/>
      <c r="I4" s="1"/>
      <c r="J4" s="1"/>
      <c r="K4" s="1"/>
      <c r="M4" s="62"/>
      <c r="N4" s="62"/>
      <c r="O4" s="62"/>
      <c r="P4" s="62"/>
      <c r="Q4" s="66"/>
      <c r="R4" s="67"/>
      <c r="S4" s="67"/>
      <c r="T4" s="63"/>
      <c r="U4" s="63"/>
      <c r="V4" s="63"/>
      <c r="W4" s="64"/>
      <c r="X4" s="65"/>
      <c r="Y4" s="63"/>
    </row>
    <row r="5" spans="1:25" s="5" customFormat="1" ht="13.8" x14ac:dyDescent="0.3">
      <c r="A5" s="1"/>
      <c r="B5" s="2" t="s">
        <v>25</v>
      </c>
      <c r="C5" s="4"/>
      <c r="D5" s="1"/>
      <c r="E5" s="2"/>
      <c r="F5" s="1"/>
      <c r="G5" s="1"/>
      <c r="H5" s="1"/>
      <c r="I5" s="1"/>
      <c r="J5" s="1"/>
      <c r="K5" s="1"/>
      <c r="M5" s="62"/>
      <c r="N5" s="62"/>
      <c r="O5" s="62"/>
      <c r="P5" s="62"/>
      <c r="Q5" s="66"/>
      <c r="R5" s="67"/>
      <c r="S5" s="67"/>
      <c r="T5" s="63"/>
      <c r="U5" s="63"/>
      <c r="V5" s="63"/>
      <c r="W5" s="64"/>
      <c r="X5" s="65"/>
      <c r="Y5" s="63"/>
    </row>
    <row r="6" spans="1:25" s="5" customFormat="1" ht="13.8" x14ac:dyDescent="0.3">
      <c r="A6" s="1"/>
      <c r="B6" s="1" t="s">
        <v>7</v>
      </c>
      <c r="C6" s="13"/>
      <c r="D6" s="1"/>
      <c r="E6" s="1"/>
      <c r="F6" s="1"/>
      <c r="G6" s="1"/>
      <c r="H6" s="1"/>
      <c r="I6" s="1"/>
      <c r="J6" s="1"/>
      <c r="K6" s="1"/>
      <c r="M6" s="62"/>
      <c r="N6" s="62"/>
      <c r="O6" s="62"/>
      <c r="P6" s="62"/>
      <c r="Q6" s="66"/>
      <c r="R6" s="67"/>
      <c r="S6" s="67"/>
      <c r="T6" s="63"/>
      <c r="U6" s="63"/>
      <c r="V6" s="63"/>
      <c r="W6" s="64"/>
      <c r="X6" s="65"/>
      <c r="Y6" s="63"/>
    </row>
    <row r="7" spans="1:25" s="5" customFormat="1" ht="13.8" x14ac:dyDescent="0.3">
      <c r="A7" s="1"/>
      <c r="B7" s="1"/>
      <c r="C7" s="1"/>
      <c r="D7" s="1"/>
      <c r="E7" s="1"/>
      <c r="F7" s="1"/>
      <c r="G7" s="1"/>
      <c r="H7" s="1"/>
      <c r="I7" s="1"/>
      <c r="J7" s="1"/>
      <c r="K7" s="1"/>
      <c r="M7" s="62"/>
      <c r="N7" s="62"/>
      <c r="O7" s="62"/>
      <c r="P7" s="62"/>
      <c r="Q7" s="66"/>
      <c r="R7" s="67"/>
      <c r="S7" s="67"/>
      <c r="T7" s="63"/>
      <c r="U7" s="63"/>
      <c r="V7" s="63"/>
      <c r="W7" s="64"/>
      <c r="X7" s="65"/>
      <c r="Y7" s="63"/>
    </row>
    <row r="8" spans="1:25" s="5" customFormat="1" ht="13.8" x14ac:dyDescent="0.3">
      <c r="A8" s="14"/>
      <c r="E8" s="7"/>
      <c r="F8" s="8"/>
      <c r="H8" s="15"/>
      <c r="I8" s="7"/>
      <c r="J8" s="16"/>
      <c r="K8" s="17"/>
      <c r="L8" s="18"/>
      <c r="M8" s="62"/>
      <c r="N8" s="62"/>
      <c r="O8" s="62"/>
      <c r="P8" s="62"/>
      <c r="Q8" s="66"/>
      <c r="R8" s="67"/>
      <c r="S8" s="67"/>
      <c r="T8" s="63"/>
      <c r="U8" s="63"/>
      <c r="V8" s="63"/>
      <c r="W8" s="63"/>
      <c r="X8" s="63"/>
      <c r="Y8" s="63"/>
    </row>
    <row r="9" spans="1:25" s="5" customFormat="1" ht="13.8" x14ac:dyDescent="0.3">
      <c r="E9" s="7"/>
      <c r="F9" s="15"/>
      <c r="H9" s="15"/>
      <c r="I9" s="7"/>
      <c r="J9" s="17"/>
      <c r="K9" s="17"/>
      <c r="L9" s="18"/>
      <c r="M9" s="62"/>
      <c r="N9" s="62"/>
      <c r="O9" s="62"/>
      <c r="P9" s="62"/>
      <c r="Q9" s="66"/>
      <c r="R9" s="67"/>
      <c r="S9" s="67"/>
      <c r="T9" s="63"/>
      <c r="U9" s="63"/>
      <c r="V9" s="63"/>
      <c r="W9" s="63"/>
      <c r="X9" s="63"/>
      <c r="Y9" s="63"/>
    </row>
    <row r="10" spans="1:25" s="5" customFormat="1" ht="13.8" x14ac:dyDescent="0.3">
      <c r="E10" s="7"/>
      <c r="F10" s="15"/>
      <c r="H10" s="15"/>
      <c r="I10" s="7"/>
      <c r="J10" s="8"/>
      <c r="K10" s="15"/>
      <c r="L10" s="18"/>
      <c r="M10" s="62"/>
      <c r="N10" s="62"/>
      <c r="O10" s="62"/>
      <c r="P10" s="62"/>
      <c r="Q10" s="66"/>
      <c r="R10" s="67"/>
      <c r="S10" s="67"/>
      <c r="T10" s="63"/>
      <c r="U10" s="63"/>
      <c r="V10" s="63"/>
      <c r="W10" s="63"/>
      <c r="X10" s="63"/>
      <c r="Y10" s="63"/>
    </row>
    <row r="11" spans="1:25" s="5" customFormat="1" ht="13.8" x14ac:dyDescent="0.3">
      <c r="E11" s="7"/>
      <c r="F11" s="15"/>
      <c r="I11" s="19"/>
      <c r="J11" s="8"/>
      <c r="M11" s="62"/>
      <c r="N11" s="62"/>
      <c r="O11" s="62"/>
      <c r="P11" s="62"/>
      <c r="Q11" s="62"/>
      <c r="R11" s="62"/>
      <c r="S11" s="62"/>
      <c r="T11" s="63"/>
      <c r="U11" s="63"/>
      <c r="V11" s="63"/>
      <c r="W11" s="63"/>
      <c r="X11" s="63"/>
      <c r="Y11" s="63"/>
    </row>
    <row r="12" spans="1:25" x14ac:dyDescent="0.3">
      <c r="C12" s="21" t="str">
        <f>G4</f>
        <v>IMPORTANT INFORMATION</v>
      </c>
      <c r="M12" s="62"/>
      <c r="N12" s="62"/>
      <c r="O12" s="62"/>
      <c r="P12" s="62"/>
      <c r="Q12" s="68"/>
      <c r="R12" s="68"/>
      <c r="S12" s="68"/>
    </row>
    <row r="13" spans="1:25" s="5" customFormat="1" ht="13.8" x14ac:dyDescent="0.3">
      <c r="M13" s="62"/>
      <c r="N13" s="62"/>
      <c r="O13" s="62"/>
      <c r="P13" s="62"/>
      <c r="Q13" s="62"/>
      <c r="R13" s="62"/>
      <c r="S13" s="62"/>
      <c r="T13" s="63"/>
      <c r="U13" s="63"/>
      <c r="V13" s="63"/>
      <c r="W13" s="63"/>
      <c r="X13" s="63"/>
      <c r="Y13" s="63"/>
    </row>
    <row r="14" spans="1:25" s="5" customFormat="1" ht="13.8" x14ac:dyDescent="0.3">
      <c r="B14" s="22" t="s">
        <v>29</v>
      </c>
      <c r="M14" s="62"/>
      <c r="N14" s="62"/>
      <c r="O14" s="62"/>
      <c r="P14" s="62"/>
      <c r="Q14" s="62"/>
      <c r="R14" s="62"/>
      <c r="S14" s="62"/>
      <c r="T14" s="63"/>
      <c r="U14" s="63"/>
      <c r="V14" s="63"/>
      <c r="W14" s="63"/>
      <c r="X14" s="63"/>
      <c r="Y14" s="63"/>
    </row>
    <row r="15" spans="1:25" s="5" customFormat="1" ht="13.8" x14ac:dyDescent="0.3">
      <c r="A15" s="23"/>
      <c r="K15" s="23"/>
      <c r="M15" s="66"/>
      <c r="N15" s="66"/>
      <c r="O15" s="66"/>
      <c r="P15" s="66"/>
      <c r="Q15" s="66"/>
      <c r="R15" s="67"/>
      <c r="S15" s="67"/>
      <c r="T15" s="63"/>
      <c r="U15" s="63"/>
      <c r="V15" s="63"/>
      <c r="W15" s="63"/>
      <c r="X15" s="63"/>
      <c r="Y15" s="63"/>
    </row>
    <row r="16" spans="1:25" s="5" customFormat="1" ht="12.75" customHeight="1" x14ac:dyDescent="0.3">
      <c r="B16" s="199" t="s">
        <v>36</v>
      </c>
      <c r="C16" s="199"/>
      <c r="D16" s="199"/>
      <c r="E16" s="199"/>
      <c r="F16" s="199"/>
      <c r="G16" s="199"/>
      <c r="H16" s="199"/>
      <c r="I16" s="199"/>
      <c r="J16" s="199"/>
      <c r="M16" s="66"/>
      <c r="N16" s="66"/>
      <c r="O16" s="66"/>
      <c r="P16" s="66"/>
      <c r="Q16" s="66"/>
      <c r="R16" s="67"/>
      <c r="S16" s="67"/>
      <c r="T16" s="63"/>
      <c r="U16" s="63"/>
      <c r="V16" s="63"/>
      <c r="W16" s="63"/>
      <c r="X16" s="63"/>
      <c r="Y16" s="63"/>
    </row>
    <row r="17" spans="1:25" s="5" customFormat="1" ht="13.8" x14ac:dyDescent="0.3">
      <c r="B17" s="199"/>
      <c r="C17" s="199"/>
      <c r="D17" s="199"/>
      <c r="E17" s="199"/>
      <c r="F17" s="199"/>
      <c r="G17" s="199"/>
      <c r="H17" s="199"/>
      <c r="I17" s="199"/>
      <c r="J17" s="199"/>
      <c r="M17" s="66"/>
      <c r="N17" s="66"/>
      <c r="O17" s="66"/>
      <c r="P17" s="66"/>
      <c r="Q17" s="66"/>
      <c r="R17" s="67"/>
      <c r="S17" s="67"/>
      <c r="T17" s="63"/>
      <c r="U17" s="63"/>
      <c r="V17" s="63"/>
      <c r="W17" s="63"/>
      <c r="X17" s="63"/>
      <c r="Y17" s="63"/>
    </row>
    <row r="18" spans="1:25" s="5" customFormat="1" ht="13.8" x14ac:dyDescent="0.3">
      <c r="B18" s="199"/>
      <c r="C18" s="199"/>
      <c r="D18" s="199"/>
      <c r="E18" s="199"/>
      <c r="F18" s="199"/>
      <c r="G18" s="199"/>
      <c r="H18" s="199"/>
      <c r="I18" s="199"/>
      <c r="J18" s="199"/>
      <c r="M18" s="66"/>
      <c r="N18" s="66"/>
      <c r="O18" s="66"/>
      <c r="P18" s="66"/>
      <c r="Q18" s="66"/>
      <c r="R18" s="67"/>
      <c r="S18" s="67"/>
      <c r="T18" s="63"/>
      <c r="U18" s="63"/>
      <c r="V18" s="63"/>
      <c r="W18" s="63"/>
      <c r="X18" s="63"/>
      <c r="Y18" s="63"/>
    </row>
    <row r="19" spans="1:25" s="5" customFormat="1" ht="13.8" x14ac:dyDescent="0.3">
      <c r="B19" s="199"/>
      <c r="C19" s="199"/>
      <c r="D19" s="199"/>
      <c r="E19" s="199"/>
      <c r="F19" s="199"/>
      <c r="G19" s="199"/>
      <c r="H19" s="199"/>
      <c r="I19" s="199"/>
      <c r="J19" s="199"/>
      <c r="M19" s="66"/>
      <c r="N19" s="66"/>
      <c r="O19" s="66"/>
      <c r="P19" s="66"/>
      <c r="Q19" s="66"/>
      <c r="R19" s="67"/>
      <c r="S19" s="67"/>
      <c r="T19" s="63"/>
      <c r="U19" s="63"/>
      <c r="V19" s="63"/>
      <c r="W19" s="63"/>
      <c r="X19" s="63"/>
      <c r="Y19" s="63"/>
    </row>
    <row r="20" spans="1:25" s="5" customFormat="1" ht="12.75" customHeight="1" x14ac:dyDescent="0.3">
      <c r="A20" s="23"/>
      <c r="B20" s="24" t="s">
        <v>34</v>
      </c>
      <c r="C20" s="23"/>
      <c r="D20" s="23"/>
      <c r="E20" s="23"/>
      <c r="F20" s="23"/>
      <c r="G20" s="23"/>
      <c r="H20" s="23"/>
      <c r="I20" s="23"/>
      <c r="J20" s="23"/>
      <c r="K20" s="23"/>
      <c r="M20" s="66"/>
      <c r="N20" s="66"/>
      <c r="O20" s="66"/>
      <c r="P20" s="66"/>
      <c r="Q20" s="66"/>
      <c r="R20" s="67"/>
      <c r="S20" s="67"/>
      <c r="T20" s="63"/>
      <c r="U20" s="63"/>
      <c r="V20" s="63"/>
      <c r="W20" s="63"/>
      <c r="X20" s="63"/>
      <c r="Y20" s="63"/>
    </row>
    <row r="21" spans="1:25" s="5" customFormat="1" ht="13.8" x14ac:dyDescent="0.3">
      <c r="A21" s="23"/>
      <c r="B21" s="24"/>
      <c r="C21" s="23"/>
      <c r="D21" s="23"/>
      <c r="E21" s="23"/>
      <c r="F21" s="23"/>
      <c r="G21" s="23"/>
      <c r="H21" s="23"/>
      <c r="I21" s="23"/>
      <c r="J21" s="23"/>
      <c r="K21" s="23"/>
      <c r="M21" s="66"/>
      <c r="N21" s="66"/>
      <c r="O21" s="66"/>
      <c r="P21" s="66"/>
      <c r="Q21" s="66"/>
      <c r="R21" s="67"/>
      <c r="S21" s="67"/>
      <c r="T21" s="63"/>
      <c r="U21" s="63"/>
      <c r="V21" s="63"/>
      <c r="W21" s="63"/>
      <c r="X21" s="63"/>
      <c r="Y21" s="63"/>
    </row>
    <row r="22" spans="1:25" s="5" customFormat="1" ht="13.8" x14ac:dyDescent="0.3">
      <c r="A22" s="23"/>
      <c r="B22" s="199" t="s">
        <v>37</v>
      </c>
      <c r="C22" s="199"/>
      <c r="D22" s="199"/>
      <c r="E22" s="199"/>
      <c r="F22" s="199"/>
      <c r="G22" s="199"/>
      <c r="H22" s="199"/>
      <c r="I22" s="199"/>
      <c r="J22" s="199"/>
      <c r="K22" s="23"/>
      <c r="M22" s="66"/>
      <c r="N22" s="66"/>
      <c r="O22" s="66"/>
      <c r="P22" s="66"/>
      <c r="Q22" s="66"/>
      <c r="R22" s="67"/>
      <c r="S22" s="67"/>
      <c r="T22" s="63"/>
      <c r="U22" s="63"/>
      <c r="V22" s="63"/>
      <c r="W22" s="63"/>
      <c r="X22" s="63"/>
      <c r="Y22" s="63"/>
    </row>
    <row r="23" spans="1:25" s="5" customFormat="1" ht="13.8" x14ac:dyDescent="0.3">
      <c r="A23" s="23"/>
      <c r="B23" s="199"/>
      <c r="C23" s="199"/>
      <c r="D23" s="199"/>
      <c r="E23" s="199"/>
      <c r="F23" s="199"/>
      <c r="G23" s="199"/>
      <c r="H23" s="199"/>
      <c r="I23" s="199"/>
      <c r="J23" s="199"/>
      <c r="K23" s="23"/>
      <c r="M23" s="66"/>
      <c r="N23" s="66"/>
      <c r="O23" s="66"/>
      <c r="P23" s="66"/>
      <c r="Q23" s="66"/>
      <c r="R23" s="67"/>
      <c r="S23" s="70"/>
      <c r="T23" s="63"/>
      <c r="U23" s="63"/>
      <c r="V23" s="63"/>
      <c r="W23" s="63"/>
      <c r="X23" s="63"/>
      <c r="Y23" s="63"/>
    </row>
    <row r="24" spans="1:25" s="5" customFormat="1" ht="13.8" x14ac:dyDescent="0.3">
      <c r="A24" s="23"/>
      <c r="B24" s="199"/>
      <c r="C24" s="199"/>
      <c r="D24" s="199"/>
      <c r="E24" s="199"/>
      <c r="F24" s="199"/>
      <c r="G24" s="199"/>
      <c r="H24" s="199"/>
      <c r="I24" s="199"/>
      <c r="J24" s="199"/>
      <c r="K24" s="23"/>
      <c r="M24" s="66"/>
      <c r="N24" s="66"/>
      <c r="O24" s="66"/>
      <c r="P24" s="66"/>
      <c r="Q24" s="66"/>
      <c r="R24" s="67"/>
      <c r="S24" s="70"/>
      <c r="T24" s="63"/>
      <c r="U24" s="63"/>
      <c r="V24" s="63"/>
      <c r="W24" s="63"/>
      <c r="X24" s="63"/>
      <c r="Y24" s="63"/>
    </row>
    <row r="25" spans="1:25" s="5" customFormat="1" ht="12.75" customHeight="1" x14ac:dyDescent="0.3">
      <c r="A25" s="23"/>
      <c r="B25" s="72"/>
      <c r="C25" s="72"/>
      <c r="D25" s="72"/>
      <c r="E25" s="72"/>
      <c r="F25" s="95" t="s">
        <v>49</v>
      </c>
      <c r="G25" s="72"/>
      <c r="H25" s="72"/>
      <c r="I25" s="72"/>
      <c r="J25" s="72"/>
      <c r="K25" s="23"/>
      <c r="M25" s="66"/>
      <c r="N25" s="66"/>
      <c r="O25" s="66"/>
      <c r="P25" s="66"/>
      <c r="Q25" s="66"/>
      <c r="R25" s="67"/>
      <c r="S25" s="67"/>
      <c r="T25" s="63"/>
      <c r="U25" s="63"/>
      <c r="V25" s="63"/>
      <c r="W25" s="63"/>
      <c r="X25" s="63"/>
      <c r="Y25" s="63"/>
    </row>
    <row r="26" spans="1:25" s="5" customFormat="1" ht="13.8" x14ac:dyDescent="0.3">
      <c r="A26" s="23"/>
      <c r="B26" s="199" t="s">
        <v>38</v>
      </c>
      <c r="C26" s="199"/>
      <c r="D26" s="199"/>
      <c r="E26" s="199"/>
      <c r="F26" s="199"/>
      <c r="G26" s="199"/>
      <c r="H26" s="199"/>
      <c r="I26" s="199"/>
      <c r="J26" s="199"/>
      <c r="K26" s="23"/>
      <c r="M26" s="66"/>
      <c r="N26" s="66"/>
      <c r="O26" s="66"/>
      <c r="P26" s="66"/>
      <c r="Q26" s="66"/>
      <c r="R26" s="67"/>
      <c r="S26" s="67"/>
      <c r="T26" s="63"/>
      <c r="U26" s="63"/>
      <c r="V26" s="63"/>
      <c r="W26" s="63"/>
      <c r="X26" s="63"/>
      <c r="Y26" s="63"/>
    </row>
    <row r="27" spans="1:25" s="5" customFormat="1" ht="13.8" x14ac:dyDescent="0.3">
      <c r="A27" s="23"/>
      <c r="B27" s="199"/>
      <c r="C27" s="199"/>
      <c r="D27" s="199"/>
      <c r="E27" s="199"/>
      <c r="F27" s="199"/>
      <c r="G27" s="199"/>
      <c r="H27" s="199"/>
      <c r="I27" s="199"/>
      <c r="J27" s="199"/>
      <c r="K27" s="23"/>
      <c r="M27" s="66"/>
      <c r="N27" s="66"/>
      <c r="O27" s="66"/>
      <c r="P27" s="66"/>
      <c r="Q27" s="66"/>
      <c r="R27" s="67"/>
      <c r="S27" s="67"/>
      <c r="T27" s="63"/>
      <c r="U27" s="63"/>
      <c r="V27" s="63"/>
      <c r="W27" s="63"/>
      <c r="X27" s="63"/>
      <c r="Y27" s="63"/>
    </row>
    <row r="28" spans="1:25" s="5" customFormat="1" ht="13.8" x14ac:dyDescent="0.3">
      <c r="A28" s="23"/>
      <c r="B28" s="72"/>
      <c r="C28" s="72"/>
      <c r="D28" s="72"/>
      <c r="E28" s="72"/>
      <c r="F28" s="72"/>
      <c r="G28" s="72"/>
      <c r="H28" s="72"/>
      <c r="I28" s="72"/>
      <c r="J28" s="72"/>
      <c r="K28" s="23"/>
      <c r="M28" s="66"/>
      <c r="N28" s="66"/>
      <c r="O28" s="66"/>
      <c r="P28" s="66"/>
      <c r="Q28" s="66"/>
      <c r="R28" s="67"/>
      <c r="S28" s="67"/>
      <c r="T28" s="63"/>
      <c r="U28" s="63"/>
      <c r="V28" s="63"/>
      <c r="W28" s="63"/>
      <c r="X28" s="63"/>
      <c r="Y28" s="63"/>
    </row>
    <row r="29" spans="1:25" s="5" customFormat="1" ht="13.8" x14ac:dyDescent="0.3">
      <c r="A29" s="23"/>
      <c r="B29" s="199" t="s">
        <v>39</v>
      </c>
      <c r="C29" s="199"/>
      <c r="D29" s="199"/>
      <c r="E29" s="199"/>
      <c r="F29" s="199"/>
      <c r="G29" s="199"/>
      <c r="H29" s="199"/>
      <c r="I29" s="199"/>
      <c r="J29" s="199"/>
      <c r="K29" s="23"/>
      <c r="M29" s="66"/>
      <c r="N29" s="66"/>
      <c r="O29" s="66"/>
      <c r="P29" s="66"/>
      <c r="Q29" s="66"/>
      <c r="R29" s="67"/>
      <c r="S29" s="67"/>
      <c r="T29" s="63"/>
      <c r="U29" s="63"/>
      <c r="V29" s="63"/>
      <c r="W29" s="63"/>
      <c r="X29" s="63"/>
      <c r="Y29" s="63"/>
    </row>
    <row r="30" spans="1:25" s="5" customFormat="1" ht="13.8" x14ac:dyDescent="0.3">
      <c r="A30" s="23"/>
      <c r="B30" s="199"/>
      <c r="C30" s="199"/>
      <c r="D30" s="199"/>
      <c r="E30" s="199"/>
      <c r="F30" s="199"/>
      <c r="G30" s="199"/>
      <c r="H30" s="199"/>
      <c r="I30" s="199"/>
      <c r="J30" s="199"/>
      <c r="K30" s="23"/>
      <c r="M30" s="66"/>
      <c r="N30" s="66"/>
      <c r="O30" s="66"/>
      <c r="P30" s="66"/>
      <c r="Q30" s="66"/>
      <c r="R30" s="67"/>
      <c r="S30" s="67"/>
      <c r="T30" s="63"/>
      <c r="U30" s="63"/>
      <c r="V30" s="63"/>
      <c r="W30" s="63"/>
      <c r="X30" s="63"/>
      <c r="Y30" s="63"/>
    </row>
    <row r="31" spans="1:25" s="5" customFormat="1" ht="12.75" customHeight="1" x14ac:dyDescent="0.3">
      <c r="A31" s="23"/>
      <c r="B31" s="199"/>
      <c r="C31" s="199"/>
      <c r="D31" s="199"/>
      <c r="E31" s="199"/>
      <c r="F31" s="199"/>
      <c r="G31" s="199"/>
      <c r="H31" s="199"/>
      <c r="I31" s="199"/>
      <c r="J31" s="199"/>
      <c r="K31" s="23"/>
      <c r="M31" s="66"/>
      <c r="N31" s="66"/>
      <c r="O31" s="66"/>
      <c r="P31" s="66"/>
      <c r="Q31" s="66"/>
      <c r="R31" s="67"/>
      <c r="S31" s="67"/>
      <c r="T31" s="63"/>
      <c r="U31" s="63"/>
      <c r="V31" s="63"/>
      <c r="W31" s="63"/>
      <c r="X31" s="63"/>
      <c r="Y31" s="63"/>
    </row>
    <row r="32" spans="1:25" s="5" customFormat="1" ht="13.8" x14ac:dyDescent="0.3">
      <c r="A32" s="23"/>
      <c r="B32" s="199"/>
      <c r="C32" s="199"/>
      <c r="D32" s="199"/>
      <c r="E32" s="199"/>
      <c r="F32" s="199"/>
      <c r="G32" s="199"/>
      <c r="H32" s="199"/>
      <c r="I32" s="199"/>
      <c r="J32" s="199"/>
      <c r="K32" s="23"/>
      <c r="M32" s="66"/>
      <c r="N32" s="66"/>
      <c r="O32" s="66"/>
      <c r="P32" s="66"/>
      <c r="Q32" s="66"/>
      <c r="R32" s="67"/>
      <c r="S32" s="67"/>
      <c r="T32" s="63"/>
      <c r="U32" s="63"/>
      <c r="V32" s="63"/>
      <c r="W32" s="63"/>
      <c r="X32" s="63"/>
      <c r="Y32" s="63"/>
    </row>
    <row r="33" spans="1:25" s="5" customFormat="1" ht="12.75" customHeight="1" x14ac:dyDescent="0.3">
      <c r="A33" s="23"/>
      <c r="B33" s="199"/>
      <c r="C33" s="199"/>
      <c r="D33" s="199"/>
      <c r="E33" s="199"/>
      <c r="F33" s="199"/>
      <c r="G33" s="199"/>
      <c r="H33" s="199"/>
      <c r="I33" s="199"/>
      <c r="J33" s="199"/>
      <c r="K33" s="23"/>
      <c r="M33" s="66"/>
      <c r="N33" s="66"/>
      <c r="O33" s="66"/>
      <c r="P33" s="66"/>
      <c r="Q33" s="66"/>
      <c r="R33" s="67"/>
      <c r="S33" s="67"/>
      <c r="T33" s="63"/>
      <c r="U33" s="63"/>
      <c r="V33" s="63"/>
      <c r="W33" s="63"/>
      <c r="X33" s="63"/>
      <c r="Y33" s="63"/>
    </row>
    <row r="34" spans="1:25" s="5" customFormat="1" ht="13.8" x14ac:dyDescent="0.3">
      <c r="A34" s="23"/>
      <c r="B34" s="72"/>
      <c r="C34" s="72"/>
      <c r="D34" s="201" t="s">
        <v>30</v>
      </c>
      <c r="E34" s="201"/>
      <c r="F34" s="201"/>
      <c r="G34" s="201"/>
      <c r="H34" s="201"/>
      <c r="I34" s="72"/>
      <c r="J34" s="72"/>
      <c r="K34" s="23"/>
      <c r="M34" s="66"/>
      <c r="N34" s="66"/>
      <c r="O34" s="66"/>
      <c r="P34" s="66"/>
      <c r="Q34" s="66"/>
      <c r="R34" s="67"/>
      <c r="S34" s="70"/>
      <c r="T34" s="63"/>
      <c r="U34" s="63"/>
      <c r="V34" s="63"/>
      <c r="W34" s="63"/>
      <c r="X34" s="63"/>
      <c r="Y34" s="63"/>
    </row>
    <row r="35" spans="1:25" s="5" customFormat="1" ht="13.8" x14ac:dyDescent="0.3">
      <c r="A35" s="23"/>
      <c r="B35" s="23"/>
      <c r="C35" s="23"/>
      <c r="I35" s="23"/>
      <c r="J35" s="23"/>
      <c r="K35" s="23"/>
      <c r="M35" s="66"/>
      <c r="N35" s="66"/>
      <c r="O35" s="66"/>
      <c r="P35" s="66"/>
      <c r="Q35" s="66"/>
      <c r="R35" s="67"/>
      <c r="S35" s="70"/>
      <c r="T35" s="63"/>
      <c r="U35" s="63"/>
      <c r="V35" s="63"/>
      <c r="W35" s="63"/>
      <c r="X35" s="63"/>
      <c r="Y35" s="63"/>
    </row>
    <row r="36" spans="1:25" s="5" customFormat="1" ht="12.75" customHeight="1" x14ac:dyDescent="0.3">
      <c r="A36" s="23"/>
      <c r="B36" s="24" t="s">
        <v>31</v>
      </c>
      <c r="C36" s="23"/>
      <c r="D36" s="23"/>
      <c r="E36" s="23"/>
      <c r="F36" s="71"/>
      <c r="G36" s="23"/>
      <c r="H36" s="23"/>
      <c r="I36" s="23"/>
      <c r="J36" s="23"/>
      <c r="K36" s="23"/>
      <c r="M36" s="66"/>
      <c r="N36" s="66"/>
      <c r="O36" s="66"/>
      <c r="P36" s="66"/>
      <c r="Q36" s="66"/>
      <c r="R36" s="67"/>
      <c r="S36" s="67"/>
      <c r="T36" s="63"/>
      <c r="U36" s="63"/>
      <c r="V36" s="63"/>
      <c r="W36" s="63"/>
      <c r="X36" s="63"/>
      <c r="Y36" s="63"/>
    </row>
    <row r="37" spans="1:25" s="5" customFormat="1" ht="13.8" x14ac:dyDescent="0.3">
      <c r="A37" s="23"/>
      <c r="B37" s="24"/>
      <c r="C37" s="23"/>
      <c r="D37" s="23"/>
      <c r="E37" s="23"/>
      <c r="F37" s="71"/>
      <c r="G37" s="23"/>
      <c r="H37" s="23"/>
      <c r="I37" s="23"/>
      <c r="J37" s="23"/>
      <c r="K37" s="23"/>
      <c r="M37" s="66"/>
      <c r="N37" s="66"/>
      <c r="O37" s="66"/>
      <c r="P37" s="66"/>
      <c r="Q37" s="66"/>
      <c r="R37" s="67"/>
      <c r="S37" s="67"/>
      <c r="T37" s="63"/>
      <c r="U37" s="63"/>
      <c r="V37" s="63"/>
      <c r="W37" s="63"/>
      <c r="X37" s="63"/>
      <c r="Y37" s="63"/>
    </row>
    <row r="38" spans="1:25" s="5" customFormat="1" ht="13.8" x14ac:dyDescent="0.3">
      <c r="A38" s="23"/>
      <c r="B38" s="199" t="s">
        <v>40</v>
      </c>
      <c r="C38" s="199"/>
      <c r="D38" s="199"/>
      <c r="E38" s="199"/>
      <c r="F38" s="199"/>
      <c r="G38" s="199"/>
      <c r="H38" s="199"/>
      <c r="I38" s="199"/>
      <c r="J38" s="199"/>
      <c r="K38" s="23"/>
      <c r="M38" s="66"/>
      <c r="N38" s="66"/>
      <c r="O38" s="66"/>
      <c r="P38" s="66"/>
      <c r="Q38" s="66"/>
      <c r="R38" s="67"/>
      <c r="S38" s="67"/>
      <c r="T38" s="63"/>
      <c r="U38" s="63"/>
      <c r="V38" s="63"/>
      <c r="W38" s="63"/>
      <c r="X38" s="63"/>
      <c r="Y38" s="63"/>
    </row>
    <row r="39" spans="1:25" s="5" customFormat="1" ht="13.8" x14ac:dyDescent="0.3">
      <c r="A39" s="23"/>
      <c r="B39" s="199"/>
      <c r="C39" s="199"/>
      <c r="D39" s="199"/>
      <c r="E39" s="199"/>
      <c r="F39" s="199"/>
      <c r="G39" s="199"/>
      <c r="H39" s="199"/>
      <c r="I39" s="199"/>
      <c r="J39" s="199"/>
      <c r="K39" s="23"/>
      <c r="M39" s="66"/>
      <c r="N39" s="66"/>
      <c r="O39" s="66"/>
      <c r="P39" s="66"/>
      <c r="Q39" s="66"/>
      <c r="R39" s="67"/>
      <c r="S39" s="67"/>
      <c r="T39" s="63"/>
      <c r="U39" s="63"/>
      <c r="V39" s="63"/>
      <c r="W39" s="63"/>
      <c r="X39" s="63"/>
      <c r="Y39" s="63"/>
    </row>
    <row r="40" spans="1:25" s="5" customFormat="1" ht="13.8" x14ac:dyDescent="0.3">
      <c r="A40" s="23"/>
      <c r="B40" s="72"/>
      <c r="C40" s="72"/>
      <c r="D40" s="72"/>
      <c r="E40" s="72"/>
      <c r="F40" s="72"/>
      <c r="G40" s="72"/>
      <c r="H40" s="72"/>
      <c r="I40" s="72"/>
      <c r="J40" s="72"/>
      <c r="K40" s="23"/>
      <c r="M40" s="66"/>
      <c r="N40" s="66"/>
      <c r="O40" s="66"/>
      <c r="P40" s="66"/>
      <c r="Q40" s="66"/>
      <c r="R40" s="67"/>
      <c r="S40" s="67"/>
      <c r="T40" s="63"/>
      <c r="U40" s="63"/>
      <c r="V40" s="63"/>
      <c r="W40" s="63"/>
      <c r="X40" s="63"/>
      <c r="Y40" s="63"/>
    </row>
    <row r="41" spans="1:25" s="5" customFormat="1" ht="13.8" x14ac:dyDescent="0.3">
      <c r="A41" s="23"/>
      <c r="B41" s="199" t="s">
        <v>41</v>
      </c>
      <c r="C41" s="199"/>
      <c r="D41" s="199"/>
      <c r="E41" s="199"/>
      <c r="F41" s="199"/>
      <c r="G41" s="199"/>
      <c r="H41" s="199"/>
      <c r="I41" s="199"/>
      <c r="J41" s="199"/>
      <c r="K41" s="23"/>
      <c r="M41" s="66"/>
      <c r="N41" s="66"/>
      <c r="O41" s="66"/>
      <c r="P41" s="66"/>
      <c r="Q41" s="66"/>
      <c r="R41" s="67"/>
      <c r="S41" s="67"/>
      <c r="T41" s="63"/>
      <c r="U41" s="63"/>
      <c r="V41" s="63"/>
      <c r="W41" s="63"/>
      <c r="X41" s="63"/>
      <c r="Y41" s="63"/>
    </row>
    <row r="42" spans="1:25" s="5" customFormat="1" ht="13.8" x14ac:dyDescent="0.3">
      <c r="A42" s="23"/>
      <c r="B42" s="199"/>
      <c r="C42" s="199"/>
      <c r="D42" s="199"/>
      <c r="E42" s="199"/>
      <c r="F42" s="199"/>
      <c r="G42" s="199"/>
      <c r="H42" s="199"/>
      <c r="I42" s="199"/>
      <c r="J42" s="199"/>
      <c r="K42" s="23"/>
      <c r="M42" s="66"/>
      <c r="N42" s="66"/>
      <c r="O42" s="66"/>
      <c r="P42" s="66"/>
      <c r="Q42" s="66"/>
      <c r="R42" s="67"/>
      <c r="S42" s="67"/>
      <c r="T42" s="63"/>
      <c r="U42" s="63"/>
      <c r="V42" s="63"/>
      <c r="W42" s="63"/>
      <c r="X42" s="63"/>
      <c r="Y42" s="63"/>
    </row>
    <row r="43" spans="1:25" s="5" customFormat="1" ht="13.8" x14ac:dyDescent="0.3">
      <c r="A43" s="23"/>
      <c r="B43" s="199"/>
      <c r="C43" s="199"/>
      <c r="D43" s="199"/>
      <c r="E43" s="199"/>
      <c r="F43" s="199"/>
      <c r="G43" s="199"/>
      <c r="H43" s="199"/>
      <c r="I43" s="199"/>
      <c r="J43" s="199"/>
      <c r="K43" s="23"/>
      <c r="M43" s="66"/>
      <c r="N43" s="66"/>
      <c r="O43" s="66"/>
      <c r="P43" s="66"/>
      <c r="Q43" s="66"/>
      <c r="R43" s="67"/>
      <c r="S43" s="67"/>
      <c r="T43" s="63"/>
      <c r="U43" s="63"/>
      <c r="V43" s="63"/>
      <c r="W43" s="63"/>
      <c r="X43" s="63"/>
      <c r="Y43" s="63"/>
    </row>
    <row r="44" spans="1:25" s="5" customFormat="1" ht="13.8" x14ac:dyDescent="0.3">
      <c r="A44" s="23"/>
      <c r="B44" s="72"/>
      <c r="C44" s="72"/>
      <c r="D44" s="72"/>
      <c r="E44" s="72"/>
      <c r="F44" s="72"/>
      <c r="G44" s="72"/>
      <c r="H44" s="72"/>
      <c r="I44" s="72"/>
      <c r="J44" s="72"/>
      <c r="K44" s="23"/>
      <c r="M44" s="66"/>
      <c r="N44" s="66"/>
      <c r="O44" s="66"/>
      <c r="P44" s="66"/>
      <c r="Q44" s="66"/>
      <c r="R44" s="67"/>
      <c r="S44" s="67"/>
      <c r="T44" s="63"/>
      <c r="U44" s="63"/>
      <c r="V44" s="63"/>
      <c r="W44" s="63"/>
      <c r="X44" s="63"/>
      <c r="Y44" s="63"/>
    </row>
    <row r="45" spans="1:25" s="5" customFormat="1" ht="12.75" customHeight="1" x14ac:dyDescent="0.3">
      <c r="A45" s="23"/>
      <c r="B45" s="199" t="s">
        <v>35</v>
      </c>
      <c r="C45" s="199"/>
      <c r="D45" s="199"/>
      <c r="E45" s="199"/>
      <c r="F45" s="199"/>
      <c r="G45" s="199"/>
      <c r="H45" s="199"/>
      <c r="I45" s="199"/>
      <c r="J45" s="199"/>
      <c r="K45" s="23"/>
      <c r="M45" s="66"/>
      <c r="N45" s="66"/>
      <c r="O45" s="66"/>
      <c r="P45" s="66"/>
      <c r="Q45" s="66"/>
      <c r="R45" s="67"/>
      <c r="S45" s="67"/>
      <c r="T45" s="63"/>
      <c r="U45" s="63"/>
      <c r="V45" s="63"/>
      <c r="W45" s="63"/>
      <c r="X45" s="63"/>
      <c r="Y45" s="63"/>
    </row>
    <row r="46" spans="1:25" s="5" customFormat="1" ht="13.8" x14ac:dyDescent="0.3">
      <c r="A46" s="23"/>
      <c r="B46" s="199"/>
      <c r="C46" s="199"/>
      <c r="D46" s="199"/>
      <c r="E46" s="199"/>
      <c r="F46" s="199"/>
      <c r="G46" s="199"/>
      <c r="H46" s="199"/>
      <c r="I46" s="199"/>
      <c r="J46" s="199"/>
      <c r="K46" s="23"/>
      <c r="M46" s="66"/>
      <c r="N46" s="66"/>
      <c r="O46" s="66"/>
      <c r="P46" s="66"/>
      <c r="Q46" s="66"/>
      <c r="R46" s="67"/>
      <c r="S46" s="67"/>
      <c r="T46" s="63"/>
      <c r="U46" s="63"/>
      <c r="V46" s="63"/>
      <c r="W46" s="63"/>
      <c r="X46" s="63"/>
      <c r="Y46" s="63"/>
    </row>
    <row r="47" spans="1:25" s="5" customFormat="1" ht="13.8" x14ac:dyDescent="0.3">
      <c r="A47" s="23"/>
      <c r="B47" s="199"/>
      <c r="C47" s="199"/>
      <c r="D47" s="199"/>
      <c r="E47" s="199"/>
      <c r="F47" s="199"/>
      <c r="G47" s="199"/>
      <c r="H47" s="199"/>
      <c r="I47" s="199"/>
      <c r="J47" s="199"/>
      <c r="K47" s="23"/>
      <c r="M47" s="66"/>
      <c r="N47" s="66"/>
      <c r="O47" s="66"/>
      <c r="P47" s="66"/>
      <c r="Q47" s="66"/>
      <c r="R47" s="67"/>
      <c r="S47" s="67"/>
      <c r="T47" s="63"/>
      <c r="U47" s="63"/>
      <c r="V47" s="63"/>
      <c r="W47" s="63"/>
      <c r="X47" s="63"/>
      <c r="Y47" s="63"/>
    </row>
    <row r="48" spans="1:25" s="5" customFormat="1" ht="12.75" customHeight="1" x14ac:dyDescent="0.3">
      <c r="A48" s="23"/>
      <c r="B48" s="199"/>
      <c r="C48" s="199"/>
      <c r="D48" s="199"/>
      <c r="E48" s="199"/>
      <c r="F48" s="199"/>
      <c r="G48" s="199"/>
      <c r="H48" s="199"/>
      <c r="I48" s="199"/>
      <c r="J48" s="199"/>
      <c r="K48" s="23"/>
      <c r="M48" s="66"/>
      <c r="N48" s="66"/>
      <c r="O48" s="66"/>
      <c r="P48" s="66"/>
      <c r="Q48" s="66"/>
      <c r="R48" s="67"/>
      <c r="S48" s="67"/>
      <c r="T48" s="63"/>
      <c r="U48" s="63"/>
      <c r="V48" s="63"/>
      <c r="W48" s="63"/>
      <c r="X48" s="63"/>
      <c r="Y48" s="63"/>
    </row>
    <row r="49" spans="1:25" s="5" customFormat="1" ht="13.8" x14ac:dyDescent="0.3">
      <c r="A49" s="23"/>
      <c r="B49" s="23" t="s">
        <v>42</v>
      </c>
      <c r="C49" s="23"/>
      <c r="D49" s="23"/>
      <c r="E49" s="23"/>
      <c r="F49" s="23"/>
      <c r="G49" s="23"/>
      <c r="H49" s="23"/>
      <c r="I49" s="23"/>
      <c r="J49" s="23"/>
      <c r="K49" s="23"/>
      <c r="M49" s="66"/>
      <c r="N49" s="66"/>
      <c r="O49" s="66"/>
      <c r="P49" s="66"/>
      <c r="Q49" s="66"/>
      <c r="R49" s="67"/>
      <c r="S49" s="67"/>
      <c r="T49" s="63"/>
      <c r="U49" s="63"/>
      <c r="V49" s="63"/>
      <c r="W49" s="63"/>
      <c r="X49" s="63"/>
      <c r="Y49" s="63"/>
    </row>
    <row r="50" spans="1:25" s="5" customFormat="1" ht="13.8" x14ac:dyDescent="0.3">
      <c r="A50" s="23"/>
      <c r="B50" s="23"/>
      <c r="C50" s="23"/>
      <c r="D50" s="23"/>
      <c r="F50" s="95" t="s">
        <v>48</v>
      </c>
      <c r="G50" s="71"/>
      <c r="H50" s="23"/>
      <c r="I50" s="23"/>
      <c r="J50" s="23"/>
      <c r="K50" s="23"/>
      <c r="M50" s="66"/>
      <c r="N50" s="66"/>
      <c r="O50" s="66"/>
      <c r="P50" s="66"/>
      <c r="Q50" s="66"/>
      <c r="R50" s="67"/>
      <c r="S50" s="67"/>
      <c r="T50" s="63"/>
      <c r="U50" s="63"/>
      <c r="V50" s="63"/>
      <c r="W50" s="63"/>
      <c r="X50" s="63"/>
      <c r="Y50" s="63"/>
    </row>
    <row r="51" spans="1:25" s="5" customFormat="1" ht="13.8" x14ac:dyDescent="0.3">
      <c r="A51" s="23"/>
      <c r="B51" s="23"/>
      <c r="C51" s="23"/>
      <c r="D51" s="23"/>
      <c r="E51" s="23"/>
      <c r="F51" s="23"/>
      <c r="G51" s="23"/>
      <c r="H51" s="23"/>
      <c r="I51" s="23"/>
      <c r="J51" s="23"/>
      <c r="K51" s="23"/>
      <c r="M51" s="66"/>
      <c r="N51" s="66"/>
      <c r="O51" s="66"/>
      <c r="P51" s="66"/>
      <c r="Q51" s="66"/>
      <c r="R51" s="67"/>
      <c r="S51" s="67"/>
      <c r="T51" s="63"/>
      <c r="U51" s="63"/>
      <c r="V51" s="63"/>
      <c r="W51" s="63"/>
      <c r="X51" s="63"/>
      <c r="Y51" s="63"/>
    </row>
    <row r="52" spans="1:25" s="5" customFormat="1" ht="12.75" customHeight="1" x14ac:dyDescent="0.3">
      <c r="A52" s="23"/>
      <c r="B52" s="24" t="s">
        <v>43</v>
      </c>
      <c r="C52" s="23"/>
      <c r="D52" s="23"/>
      <c r="E52" s="23"/>
      <c r="F52" s="23"/>
      <c r="G52" s="23"/>
      <c r="H52" s="23"/>
      <c r="I52" s="23"/>
      <c r="J52" s="23"/>
      <c r="K52" s="23"/>
      <c r="M52" s="66"/>
      <c r="N52" s="66"/>
      <c r="O52" s="66"/>
      <c r="P52" s="66"/>
      <c r="Q52" s="66"/>
      <c r="R52" s="67"/>
      <c r="S52" s="67"/>
      <c r="T52" s="63"/>
      <c r="U52" s="63"/>
      <c r="V52" s="63"/>
      <c r="W52" s="63"/>
      <c r="X52" s="63"/>
      <c r="Y52" s="63"/>
    </row>
    <row r="53" spans="1:25" s="5" customFormat="1" ht="13.8" x14ac:dyDescent="0.3">
      <c r="A53" s="23"/>
      <c r="B53" s="23"/>
      <c r="C53" s="23"/>
      <c r="D53" s="23"/>
      <c r="E53" s="23"/>
      <c r="F53" s="23"/>
      <c r="G53" s="23"/>
      <c r="H53" s="23"/>
      <c r="I53" s="23"/>
      <c r="J53" s="23"/>
      <c r="K53" s="23"/>
      <c r="M53" s="66"/>
      <c r="N53" s="66"/>
      <c r="O53" s="66"/>
      <c r="P53" s="66"/>
      <c r="Q53" s="66"/>
      <c r="R53" s="67"/>
      <c r="S53" s="67"/>
      <c r="T53" s="63"/>
      <c r="U53" s="63"/>
      <c r="V53" s="63"/>
      <c r="W53" s="63"/>
      <c r="X53" s="63"/>
      <c r="Y53" s="63"/>
    </row>
    <row r="54" spans="1:25" s="5" customFormat="1" ht="13.8" x14ac:dyDescent="0.3">
      <c r="A54" s="23"/>
      <c r="B54" s="200" t="s">
        <v>44</v>
      </c>
      <c r="C54" s="200"/>
      <c r="D54" s="200"/>
      <c r="E54" s="200"/>
      <c r="F54" s="200"/>
      <c r="G54" s="200"/>
      <c r="H54" s="200"/>
      <c r="I54" s="200"/>
      <c r="J54" s="200"/>
      <c r="K54" s="23"/>
      <c r="M54" s="66"/>
      <c r="N54" s="66"/>
      <c r="O54" s="66"/>
      <c r="P54" s="66"/>
      <c r="Q54" s="66"/>
      <c r="R54" s="67"/>
      <c r="S54" s="67"/>
      <c r="T54" s="63"/>
      <c r="U54" s="63"/>
      <c r="V54" s="63"/>
      <c r="W54" s="63"/>
      <c r="X54" s="63"/>
      <c r="Y54" s="63"/>
    </row>
    <row r="55" spans="1:25" s="5" customFormat="1" ht="13.8" x14ac:dyDescent="0.3">
      <c r="A55" s="23"/>
      <c r="B55" s="200"/>
      <c r="C55" s="200"/>
      <c r="D55" s="200"/>
      <c r="E55" s="200"/>
      <c r="F55" s="200"/>
      <c r="G55" s="200"/>
      <c r="H55" s="200"/>
      <c r="I55" s="200"/>
      <c r="J55" s="200"/>
      <c r="K55" s="23"/>
      <c r="M55" s="66"/>
      <c r="N55" s="66"/>
      <c r="O55" s="66"/>
      <c r="P55" s="66"/>
      <c r="Q55" s="66"/>
      <c r="R55" s="67"/>
      <c r="S55" s="67"/>
      <c r="T55" s="63"/>
      <c r="U55" s="63"/>
      <c r="V55" s="63"/>
      <c r="W55" s="63"/>
      <c r="X55" s="63"/>
      <c r="Y55" s="63"/>
    </row>
    <row r="56" spans="1:25" s="5" customFormat="1" ht="13.8" x14ac:dyDescent="0.3">
      <c r="A56" s="23"/>
      <c r="B56" s="200"/>
      <c r="C56" s="200"/>
      <c r="D56" s="200"/>
      <c r="E56" s="200"/>
      <c r="F56" s="200"/>
      <c r="G56" s="200"/>
      <c r="H56" s="200"/>
      <c r="I56" s="200"/>
      <c r="J56" s="200"/>
      <c r="K56" s="23"/>
      <c r="M56" s="66"/>
      <c r="N56" s="66"/>
      <c r="O56"/>
      <c r="P56" s="66"/>
      <c r="Q56" s="66"/>
      <c r="R56" s="67"/>
      <c r="S56" s="67"/>
      <c r="T56" s="63"/>
      <c r="U56" s="63"/>
      <c r="V56" s="63"/>
      <c r="W56" s="63"/>
      <c r="X56" s="63"/>
      <c r="Y56" s="63"/>
    </row>
    <row r="57" spans="1:25" s="5" customFormat="1" ht="13.8" x14ac:dyDescent="0.3">
      <c r="A57" s="23"/>
      <c r="B57" s="23"/>
      <c r="C57" s="23"/>
      <c r="D57" s="23"/>
      <c r="F57" s="71"/>
      <c r="G57" s="23"/>
      <c r="H57" s="23"/>
      <c r="I57" s="23"/>
      <c r="J57" s="23"/>
      <c r="K57" s="23"/>
      <c r="M57" s="66"/>
      <c r="N57" s="66"/>
      <c r="O57" s="66"/>
      <c r="P57" s="66"/>
      <c r="Q57" s="66"/>
      <c r="R57" s="67"/>
      <c r="S57" s="67"/>
      <c r="T57" s="63"/>
      <c r="U57" s="63"/>
      <c r="V57" s="63"/>
      <c r="W57" s="63"/>
      <c r="X57" s="63"/>
      <c r="Y57" s="63"/>
    </row>
    <row r="58" spans="1:25" s="5" customFormat="1" ht="13.8" x14ac:dyDescent="0.3">
      <c r="A58" s="23"/>
      <c r="B58" s="23"/>
      <c r="C58" s="23"/>
      <c r="D58" s="23"/>
      <c r="E58" s="23"/>
      <c r="F58" s="23"/>
      <c r="G58" s="23"/>
      <c r="H58" s="23"/>
      <c r="I58" s="23"/>
      <c r="J58" s="23"/>
      <c r="K58" s="23"/>
      <c r="M58" s="66"/>
      <c r="N58" s="66"/>
      <c r="O58" s="66"/>
      <c r="P58" s="66"/>
      <c r="Q58" s="66"/>
      <c r="R58" s="67"/>
      <c r="S58" s="67"/>
      <c r="T58" s="63"/>
      <c r="U58" s="63"/>
      <c r="V58" s="63"/>
      <c r="W58" s="63"/>
      <c r="X58" s="63"/>
      <c r="Y58" s="63"/>
    </row>
    <row r="59" spans="1:25" s="5" customFormat="1" ht="13.8" x14ac:dyDescent="0.3">
      <c r="K59" s="23"/>
      <c r="M59" s="66"/>
      <c r="N59" s="66"/>
      <c r="O59" s="96"/>
      <c r="P59" s="66"/>
      <c r="Q59" s="66"/>
      <c r="R59" s="67"/>
      <c r="S59" s="67"/>
      <c r="T59" s="63"/>
      <c r="U59" s="63"/>
      <c r="V59" s="63"/>
      <c r="W59" s="63"/>
      <c r="X59" s="63"/>
      <c r="Y59" s="63"/>
    </row>
    <row r="60" spans="1:25" s="5" customFormat="1" ht="13.8" x14ac:dyDescent="0.3">
      <c r="A60" s="23"/>
      <c r="B60" s="23" t="s">
        <v>45</v>
      </c>
      <c r="C60" s="23"/>
      <c r="D60" s="23"/>
      <c r="E60" s="23"/>
      <c r="F60" s="23"/>
      <c r="G60" s="23"/>
      <c r="H60" s="23"/>
      <c r="I60" s="23"/>
      <c r="J60" s="23"/>
      <c r="K60" s="23"/>
      <c r="M60" s="66"/>
      <c r="N60" s="66"/>
      <c r="O60" s="66"/>
      <c r="P60" s="66"/>
      <c r="Q60" s="66"/>
      <c r="R60" s="67"/>
      <c r="S60" s="67"/>
      <c r="T60" s="63"/>
      <c r="U60" s="63"/>
      <c r="V60" s="63"/>
      <c r="W60" s="63"/>
      <c r="X60" s="63"/>
      <c r="Y60" s="63"/>
    </row>
    <row r="61" spans="1:25" s="5" customFormat="1" ht="13.8" x14ac:dyDescent="0.3">
      <c r="A61" s="23"/>
      <c r="C61" s="23"/>
      <c r="D61" s="23"/>
      <c r="F61" s="95" t="s">
        <v>47</v>
      </c>
      <c r="G61" s="55"/>
      <c r="H61" s="23"/>
      <c r="I61" s="23"/>
      <c r="J61" s="23"/>
      <c r="K61" s="23"/>
      <c r="M61" s="66"/>
      <c r="N61" s="66"/>
      <c r="O61" s="66"/>
      <c r="P61" s="66"/>
      <c r="Q61" s="66"/>
      <c r="R61" s="67"/>
      <c r="S61" s="67"/>
      <c r="T61" s="63"/>
      <c r="U61" s="63"/>
      <c r="V61" s="63"/>
      <c r="W61" s="63"/>
      <c r="X61" s="63"/>
      <c r="Y61" s="63"/>
    </row>
    <row r="62" spans="1:25" s="5" customFormat="1" ht="13.8" x14ac:dyDescent="0.3">
      <c r="A62" s="23"/>
      <c r="B62" s="23"/>
      <c r="C62" s="23"/>
      <c r="D62" s="23"/>
      <c r="E62" s="23"/>
      <c r="F62" s="23"/>
      <c r="G62" s="23"/>
      <c r="H62" s="23"/>
      <c r="I62" s="23"/>
      <c r="J62" s="23"/>
      <c r="K62" s="23"/>
      <c r="M62" s="66"/>
      <c r="N62" s="66"/>
      <c r="O62" s="66"/>
      <c r="P62" s="66"/>
      <c r="Q62" s="66"/>
      <c r="R62" s="67"/>
      <c r="S62" s="67"/>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760"/>
  <sheetViews>
    <sheetView tabSelected="1" view="pageBreakPreview" zoomScale="85" zoomScaleNormal="100" zoomScaleSheetLayoutView="85" workbookViewId="0">
      <selection activeCell="K6" sqref="K6"/>
    </sheetView>
  </sheetViews>
  <sheetFormatPr defaultColWidth="9.109375" defaultRowHeight="15.6" x14ac:dyDescent="0.3"/>
  <cols>
    <col min="1" max="1" width="9.109375" style="25"/>
    <col min="2" max="2" width="9.33203125" style="25" bestFit="1" customWidth="1"/>
    <col min="3" max="3" width="9.5546875" style="25" bestFit="1" customWidth="1"/>
    <col min="4" max="7" width="9.109375" style="25"/>
    <col min="8" max="8" width="9.109375" style="25" customWidth="1"/>
    <col min="9"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2</v>
      </c>
      <c r="H1" s="1"/>
      <c r="I1" s="1"/>
      <c r="J1" s="1"/>
      <c r="K1" s="1"/>
      <c r="M1" s="6" t="s">
        <v>12</v>
      </c>
      <c r="N1" s="6" t="s">
        <v>13</v>
      </c>
      <c r="O1" s="6" t="s">
        <v>14</v>
      </c>
      <c r="P1" s="6" t="s">
        <v>14</v>
      </c>
      <c r="Q1" s="6" t="s">
        <v>14</v>
      </c>
      <c r="R1" s="6" t="s">
        <v>15</v>
      </c>
      <c r="S1" s="32" t="s">
        <v>16</v>
      </c>
      <c r="T1" s="33" t="s">
        <v>17</v>
      </c>
      <c r="W1" s="7" t="s">
        <v>18</v>
      </c>
      <c r="X1" s="8">
        <f>SUM(M:M)</f>
        <v>2</v>
      </c>
    </row>
    <row r="2" spans="1:35" s="5" customFormat="1" ht="13.8" x14ac:dyDescent="0.3">
      <c r="A2" s="1"/>
      <c r="B2" s="2" t="s">
        <v>2</v>
      </c>
      <c r="C2" s="3" t="s">
        <v>10</v>
      </c>
      <c r="D2" s="1"/>
      <c r="E2" s="1"/>
      <c r="F2" s="2" t="s">
        <v>5</v>
      </c>
      <c r="G2" s="3" t="s">
        <v>153</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154</v>
      </c>
      <c r="D3" s="1"/>
      <c r="E3" s="1"/>
      <c r="F3" s="2" t="s">
        <v>4</v>
      </c>
      <c r="G3" s="3" t="s">
        <v>147</v>
      </c>
      <c r="H3" s="1"/>
      <c r="I3" s="1"/>
      <c r="J3" s="1"/>
      <c r="K3" s="1"/>
      <c r="M3" s="9"/>
      <c r="N3" s="9"/>
      <c r="O3" s="9"/>
      <c r="P3" s="9"/>
      <c r="Q3" s="9"/>
      <c r="R3" s="9"/>
      <c r="S3" s="34"/>
      <c r="T3" s="35"/>
      <c r="W3" s="7" t="s">
        <v>21</v>
      </c>
      <c r="X3" s="8">
        <f>SUM(O:O)</f>
        <v>0</v>
      </c>
    </row>
    <row r="4" spans="1:35" s="5" customFormat="1" ht="13.8" x14ac:dyDescent="0.3">
      <c r="A4" s="1"/>
      <c r="B4" s="2" t="s">
        <v>22</v>
      </c>
      <c r="C4" s="4"/>
      <c r="D4" s="1"/>
      <c r="E4" s="1"/>
      <c r="F4" s="2" t="s">
        <v>23</v>
      </c>
      <c r="G4" s="3" t="s">
        <v>50</v>
      </c>
      <c r="H4" s="1"/>
      <c r="I4" s="1"/>
      <c r="J4" s="1"/>
      <c r="K4" s="1"/>
      <c r="M4" s="9"/>
      <c r="N4" s="9"/>
      <c r="O4" s="9"/>
      <c r="P4" s="9"/>
      <c r="Q4" s="11"/>
      <c r="R4" s="12"/>
      <c r="S4" s="36"/>
      <c r="T4" s="35"/>
      <c r="W4" s="7" t="s">
        <v>21</v>
      </c>
      <c r="X4" s="8">
        <f>SUM(P:P)</f>
        <v>0</v>
      </c>
    </row>
    <row r="5" spans="1:35" s="5" customFormat="1" ht="13.8" x14ac:dyDescent="0.3">
      <c r="A5" s="1"/>
      <c r="B5" s="2" t="s">
        <v>25</v>
      </c>
      <c r="C5" s="4" t="s">
        <v>32</v>
      </c>
      <c r="D5" s="1"/>
      <c r="E5" s="2"/>
      <c r="F5" s="1"/>
      <c r="G5" s="1"/>
      <c r="H5" s="1"/>
      <c r="I5" s="1"/>
      <c r="J5" s="1"/>
      <c r="K5" s="1"/>
      <c r="M5" s="9"/>
      <c r="N5" s="9"/>
      <c r="O5" s="9"/>
      <c r="P5" s="9"/>
      <c r="Q5" s="11"/>
      <c r="R5" s="12"/>
      <c r="S5" s="36"/>
      <c r="T5" s="35"/>
      <c r="W5" s="7" t="s">
        <v>21</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26</v>
      </c>
      <c r="X6" s="8">
        <f>SUM(R:R)</f>
        <v>0</v>
      </c>
    </row>
    <row r="7" spans="1:35" s="5" customFormat="1" ht="13.8" x14ac:dyDescent="0.3">
      <c r="A7" s="1"/>
      <c r="B7" s="1"/>
      <c r="C7" s="1"/>
      <c r="D7" s="1"/>
      <c r="E7" s="1"/>
      <c r="F7" s="1"/>
      <c r="G7" s="1"/>
      <c r="H7" s="1"/>
      <c r="I7" s="1"/>
      <c r="J7" s="1"/>
      <c r="K7" s="1"/>
      <c r="M7" s="9"/>
      <c r="N7" s="9"/>
      <c r="O7" s="9"/>
      <c r="P7" s="9"/>
      <c r="Q7" s="11"/>
      <c r="R7" s="12"/>
      <c r="S7" s="36"/>
      <c r="T7" s="35"/>
      <c r="W7" s="7" t="s">
        <v>27</v>
      </c>
      <c r="X7" s="8">
        <f>SUM(S:S)</f>
        <v>0</v>
      </c>
    </row>
    <row r="8" spans="1:35" s="5" customFormat="1" ht="13.8" x14ac:dyDescent="0.3">
      <c r="A8" s="14"/>
      <c r="E8" s="7" t="s">
        <v>1</v>
      </c>
      <c r="F8" s="8" t="str">
        <f>$C$1</f>
        <v>R. Abbott</v>
      </c>
      <c r="H8" s="15"/>
      <c r="I8" s="7" t="s">
        <v>8</v>
      </c>
      <c r="J8" s="16" t="str">
        <f>$G$2</f>
        <v>AA-SM-007-070</v>
      </c>
      <c r="K8" s="17"/>
      <c r="L8" s="18"/>
      <c r="M8" s="9"/>
      <c r="N8" s="9"/>
      <c r="O8" s="9"/>
      <c r="P8" s="9"/>
      <c r="Q8" s="11"/>
      <c r="R8" s="12"/>
      <c r="S8" s="36"/>
      <c r="T8" s="35"/>
    </row>
    <row r="9" spans="1:35" s="5" customFormat="1" ht="13.8" x14ac:dyDescent="0.3">
      <c r="E9" s="7" t="s">
        <v>2</v>
      </c>
      <c r="F9" s="15" t="str">
        <f>$C$2</f>
        <v xml:space="preserve"> </v>
      </c>
      <c r="H9" s="15"/>
      <c r="I9" s="7" t="s">
        <v>9</v>
      </c>
      <c r="J9" s="17" t="str">
        <f>$G$3</f>
        <v>A</v>
      </c>
      <c r="K9" s="17"/>
      <c r="L9" s="18"/>
      <c r="M9" s="9">
        <v>1</v>
      </c>
      <c r="N9" s="9"/>
      <c r="O9" s="9"/>
      <c r="P9" s="9"/>
      <c r="Q9" s="11"/>
      <c r="R9" s="12"/>
      <c r="S9" s="36"/>
      <c r="T9" s="35"/>
    </row>
    <row r="10" spans="1:35" s="5" customFormat="1" ht="13.8" x14ac:dyDescent="0.3">
      <c r="E10" s="7" t="s">
        <v>3</v>
      </c>
      <c r="F10" s="15" t="str">
        <f>$C$3</f>
        <v>07/24/2016</v>
      </c>
      <c r="H10" s="15"/>
      <c r="I10" s="7" t="s">
        <v>6</v>
      </c>
      <c r="J10" s="8" t="str">
        <f>L10&amp;" of "&amp;$G$1</f>
        <v>1 of 2</v>
      </c>
      <c r="K10" s="15"/>
      <c r="L10" s="18">
        <f>SUM($M$1:M9)</f>
        <v>1</v>
      </c>
      <c r="M10" s="9"/>
      <c r="N10" s="9"/>
      <c r="O10" s="9"/>
      <c r="P10" s="9"/>
      <c r="Q10" s="11"/>
      <c r="R10" s="12"/>
      <c r="S10" s="36"/>
      <c r="T10" s="35"/>
    </row>
    <row r="11" spans="1:35" s="5" customFormat="1" ht="13.8" x14ac:dyDescent="0.3">
      <c r="A11" s="26"/>
      <c r="B11" s="26"/>
      <c r="C11" s="26"/>
      <c r="D11" s="26"/>
      <c r="E11" s="7" t="s">
        <v>28</v>
      </c>
      <c r="F11" s="15" t="str">
        <f>$C$5</f>
        <v>STANDARD SPREADSHEET METHOD</v>
      </c>
      <c r="I11" s="19"/>
      <c r="J11" s="8"/>
      <c r="M11" s="9"/>
      <c r="N11" s="9"/>
      <c r="O11" s="9"/>
      <c r="P11" s="9"/>
      <c r="Q11" s="9"/>
      <c r="R11" s="9"/>
      <c r="S11" s="34"/>
      <c r="T11" s="35"/>
    </row>
    <row r="12" spans="1:35" s="28" customFormat="1" x14ac:dyDescent="0.3">
      <c r="A12" s="73"/>
      <c r="B12" s="21" t="str">
        <f>$G$4</f>
        <v>BUCKLING EDGE ROTATIONAL RESTRAINT</v>
      </c>
      <c r="C12" s="74"/>
      <c r="D12" s="74"/>
      <c r="E12" s="75"/>
      <c r="F12" s="74"/>
      <c r="G12" s="74"/>
      <c r="H12" s="74"/>
      <c r="I12" s="74"/>
      <c r="J12" s="74"/>
      <c r="K12" s="74"/>
      <c r="L12" s="30"/>
      <c r="M12" s="37"/>
      <c r="N12" s="38"/>
      <c r="O12" s="38"/>
      <c r="P12" s="38"/>
      <c r="Q12" s="38"/>
      <c r="R12" s="37"/>
      <c r="S12" s="37"/>
      <c r="T12" s="39"/>
    </row>
    <row r="13" spans="1:35" s="26" customFormat="1" ht="13.8" x14ac:dyDescent="0.3">
      <c r="B13" s="202" t="s">
        <v>155</v>
      </c>
      <c r="C13" s="202"/>
      <c r="D13" s="202"/>
      <c r="E13" s="202"/>
      <c r="F13" s="202"/>
      <c r="G13" s="202"/>
      <c r="H13" s="202"/>
      <c r="I13" s="202"/>
      <c r="J13" s="202"/>
      <c r="K13" s="202"/>
      <c r="L13" s="29"/>
      <c r="M13" s="27"/>
      <c r="N13" s="27"/>
      <c r="O13" s="27"/>
      <c r="P13" s="27"/>
      <c r="Q13" s="27"/>
      <c r="R13" s="27"/>
      <c r="S13" s="27"/>
      <c r="T13" s="27"/>
    </row>
    <row r="14" spans="1:35" s="26" customFormat="1" ht="13.8" x14ac:dyDescent="0.3">
      <c r="B14" s="203" t="s">
        <v>51</v>
      </c>
      <c r="C14" s="203"/>
      <c r="D14" s="203"/>
      <c r="G14" s="76"/>
      <c r="H14" s="76"/>
      <c r="I14" s="76"/>
      <c r="J14" s="76"/>
      <c r="K14" s="76"/>
      <c r="M14" s="27"/>
      <c r="N14" s="27"/>
      <c r="O14" s="27"/>
      <c r="P14" s="27"/>
      <c r="Q14" s="27"/>
      <c r="R14" s="27"/>
      <c r="S14" s="27"/>
      <c r="T14" s="27"/>
    </row>
    <row r="15" spans="1:35" s="26" customFormat="1" ht="13.8" x14ac:dyDescent="0.3">
      <c r="A15" s="76"/>
      <c r="B15" s="203" t="s">
        <v>73</v>
      </c>
      <c r="C15" s="203"/>
      <c r="D15" s="203"/>
      <c r="E15" s="76"/>
      <c r="F15" s="76"/>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76"/>
      <c r="B16" s="120" t="s">
        <v>77</v>
      </c>
      <c r="C16" s="110"/>
      <c r="D16" s="26"/>
      <c r="E16" s="26"/>
      <c r="F16" s="26"/>
      <c r="G16" s="78"/>
      <c r="H16" s="102"/>
      <c r="I16" s="76"/>
      <c r="J16" s="76"/>
      <c r="K16" s="76"/>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46" s="28" customFormat="1" ht="13.8" x14ac:dyDescent="0.3">
      <c r="K17" s="76"/>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46" s="28" customFormat="1" ht="13.8" x14ac:dyDescent="0.3">
      <c r="K18" s="76"/>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46" s="28" customFormat="1" ht="13.8" x14ac:dyDescent="0.3">
      <c r="B19" s="99" t="s">
        <v>52</v>
      </c>
      <c r="E19" s="78" t="s">
        <v>78</v>
      </c>
      <c r="K19" s="79"/>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46" s="28" customFormat="1" ht="13.8" x14ac:dyDescent="0.3">
      <c r="A20" s="76"/>
      <c r="B20" s="103"/>
      <c r="C20" s="76"/>
      <c r="D20" s="76"/>
      <c r="E20" s="76"/>
      <c r="F20" s="26"/>
      <c r="G20" s="98"/>
      <c r="K20" s="76"/>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46" s="28" customFormat="1" ht="13.8" x14ac:dyDescent="0.3">
      <c r="A21" s="79"/>
      <c r="B21" s="112" t="s">
        <v>79</v>
      </c>
      <c r="C21" s="76"/>
      <c r="D21" s="87"/>
      <c r="E21" s="79"/>
      <c r="F21" s="79"/>
      <c r="G21" s="99"/>
      <c r="H21" s="105"/>
      <c r="I21" s="79"/>
      <c r="J21" s="79"/>
      <c r="K21" s="76"/>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46" s="28" customFormat="1" ht="13.8" x14ac:dyDescent="0.3">
      <c r="A22" s="76"/>
      <c r="B22" s="109"/>
      <c r="C22" s="100"/>
      <c r="D22" s="87"/>
      <c r="E22" s="76"/>
      <c r="H22" s="76"/>
      <c r="I22" s="76"/>
      <c r="J22" s="76"/>
      <c r="K22" s="76"/>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46" s="28" customFormat="1" ht="13.8" x14ac:dyDescent="0.3">
      <c r="A23" s="76"/>
      <c r="B23" s="76"/>
      <c r="C23" s="76"/>
      <c r="D23" s="78"/>
      <c r="E23" s="76"/>
      <c r="F23" s="76"/>
      <c r="G23" s="78"/>
      <c r="I23" s="76"/>
      <c r="J23" s="76"/>
      <c r="K23" s="76"/>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46" s="28" customFormat="1" ht="13.8" x14ac:dyDescent="0.3">
      <c r="A24" s="80"/>
      <c r="C24" s="111"/>
      <c r="D24" s="79"/>
      <c r="E24" s="76"/>
      <c r="F24" s="76"/>
      <c r="G24" s="78"/>
      <c r="I24" s="76"/>
      <c r="J24" s="76"/>
      <c r="K24" s="76"/>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46" s="28" customFormat="1" ht="13.8" x14ac:dyDescent="0.3">
      <c r="A25" s="80"/>
      <c r="B25" s="112" t="s">
        <v>52</v>
      </c>
      <c r="C25" s="84"/>
      <c r="D25" s="85"/>
      <c r="E25" s="76"/>
      <c r="F25" s="85"/>
      <c r="G25" s="78"/>
      <c r="H25" s="104"/>
      <c r="I25" s="76"/>
      <c r="J25" s="79"/>
      <c r="K25" s="76"/>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46" s="28" customFormat="1" ht="13.8" x14ac:dyDescent="0.3">
      <c r="A26" s="80"/>
      <c r="B26" s="128" t="s">
        <v>57</v>
      </c>
      <c r="C26" s="76" t="s">
        <v>54</v>
      </c>
      <c r="E26" s="76"/>
      <c r="F26" s="76"/>
      <c r="G26" s="76"/>
      <c r="H26" s="76"/>
      <c r="I26" s="76"/>
      <c r="J26" s="76"/>
      <c r="K26" s="76"/>
      <c r="L26" s="30"/>
      <c r="M26" s="27"/>
      <c r="N26" s="27"/>
      <c r="O26" s="27"/>
      <c r="P26" s="27"/>
      <c r="Q26" s="27"/>
      <c r="R26" s="27"/>
      <c r="S26" s="27"/>
      <c r="T26" s="27"/>
      <c r="U26" s="30"/>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row>
    <row r="27" spans="1:46" s="28" customFormat="1" ht="13.8" x14ac:dyDescent="0.3">
      <c r="A27" s="80"/>
      <c r="K27" s="80"/>
      <c r="L27" s="30"/>
      <c r="M27" s="27"/>
      <c r="N27" s="27"/>
      <c r="O27" s="27"/>
      <c r="P27" s="27"/>
      <c r="Q27" s="27"/>
      <c r="R27" s="27"/>
      <c r="S27" s="27"/>
      <c r="T27" s="27"/>
      <c r="U27" s="30"/>
      <c r="V27" s="26"/>
      <c r="W27" s="26"/>
      <c r="X27" s="26"/>
      <c r="Y27" s="26"/>
      <c r="Z27" s="26"/>
      <c r="AA27" s="26"/>
      <c r="AB27" s="26"/>
      <c r="AC27" s="26"/>
      <c r="AD27" s="26"/>
      <c r="AE27" s="26"/>
      <c r="AF27" s="26"/>
      <c r="AG27" s="26"/>
      <c r="AH27" s="26"/>
      <c r="AI27" s="26"/>
      <c r="AJ27" s="26"/>
      <c r="AK27" s="26"/>
      <c r="AL27" s="26"/>
      <c r="AM27" s="178">
        <f>IF(Analysis!W73=0,"",Analysis!Y73-Analysis!W73/2)</f>
        <v>0</v>
      </c>
      <c r="AN27" s="177">
        <f>IF(Analysis!W73=0,"",Analysis!Z73-Analysis!X73/2)</f>
        <v>0</v>
      </c>
      <c r="AO27" s="26"/>
      <c r="AP27" s="178">
        <f>IF(Analysis!W74=0,"",Analysis!Y74-Analysis!W74/2)</f>
        <v>0.22</v>
      </c>
      <c r="AQ27" s="177">
        <f>IF(Analysis!W74=0,"",Analysis!Z74-Analysis!X74/2)</f>
        <v>6.0000000000000053E-2</v>
      </c>
      <c r="AR27" s="26"/>
      <c r="AS27" s="178">
        <f>IF(Analysis!W75=0,"",Analysis!Y75-Analysis!W75/2)</f>
        <v>0</v>
      </c>
      <c r="AT27" s="177">
        <f>IF(Analysis!W75=0,"",Analysis!Z75-Analysis!X75/2)</f>
        <v>1</v>
      </c>
    </row>
    <row r="28" spans="1:46" s="28" customFormat="1" ht="15" x14ac:dyDescent="0.3">
      <c r="A28" s="76"/>
      <c r="B28" s="28" t="s">
        <v>92</v>
      </c>
      <c r="K28" s="80"/>
      <c r="L28" s="30"/>
      <c r="M28" s="27"/>
      <c r="N28" s="27"/>
      <c r="O28" s="27"/>
      <c r="P28" s="27"/>
      <c r="Q28" s="27"/>
      <c r="R28" s="27"/>
      <c r="S28" s="27"/>
      <c r="T28" s="27"/>
      <c r="U28" s="30"/>
      <c r="V28" s="26"/>
      <c r="W28" s="29" t="s">
        <v>147</v>
      </c>
      <c r="X28" s="29" t="s">
        <v>146</v>
      </c>
      <c r="Y28" s="29" t="s">
        <v>145</v>
      </c>
      <c r="Z28" s="29" t="s">
        <v>144</v>
      </c>
      <c r="AA28" s="176" t="s">
        <v>143</v>
      </c>
      <c r="AB28" s="29" t="s">
        <v>142</v>
      </c>
      <c r="AC28" s="29" t="s">
        <v>141</v>
      </c>
      <c r="AD28" s="26"/>
      <c r="AE28" s="26"/>
      <c r="AF28" s="29" t="s">
        <v>147</v>
      </c>
      <c r="AG28" s="29" t="s">
        <v>146</v>
      </c>
      <c r="AH28" s="29" t="s">
        <v>145</v>
      </c>
      <c r="AI28" s="29" t="s">
        <v>144</v>
      </c>
      <c r="AJ28" s="176" t="s">
        <v>143</v>
      </c>
      <c r="AK28" s="29" t="s">
        <v>142</v>
      </c>
      <c r="AL28" s="29" t="s">
        <v>141</v>
      </c>
      <c r="AM28" s="167">
        <f>IF(Analysis!W73=0,"",AM27)</f>
        <v>0</v>
      </c>
      <c r="AN28" s="166">
        <f>IF(Analysis!W73=0,"",Analysis!Z73+Analysis!X73/2)</f>
        <v>0.06</v>
      </c>
      <c r="AO28" s="26"/>
      <c r="AP28" s="167">
        <f>IF(Analysis!W74=0,"",AP27)</f>
        <v>0.22</v>
      </c>
      <c r="AQ28" s="166">
        <f>IF(Analysis!W74=0,"",Analysis!Z74+Analysis!X74/2)</f>
        <v>1</v>
      </c>
      <c r="AR28" s="26"/>
      <c r="AS28" s="167">
        <f>IF(Analysis!W75=0,"",AS27)</f>
        <v>0</v>
      </c>
      <c r="AT28" s="166">
        <f>IF(Analysis!W75=0,"",Analysis!Z75+Analysis!X75/2)</f>
        <v>1.06</v>
      </c>
    </row>
    <row r="29" spans="1:46" s="28" customFormat="1" ht="13.8" x14ac:dyDescent="0.3">
      <c r="A29" s="76"/>
      <c r="B29" s="129" t="s">
        <v>59</v>
      </c>
      <c r="C29" s="119">
        <v>10</v>
      </c>
      <c r="D29" s="76" t="s">
        <v>68</v>
      </c>
      <c r="E29" s="78"/>
      <c r="F29" s="76"/>
      <c r="H29" s="99"/>
      <c r="I29" s="100"/>
      <c r="J29" s="76"/>
      <c r="K29" s="76"/>
      <c r="L29" s="30"/>
      <c r="M29" s="27"/>
      <c r="N29" s="27"/>
      <c r="O29" s="27"/>
      <c r="P29" s="27"/>
      <c r="Q29" s="27"/>
      <c r="R29" s="27"/>
      <c r="S29" s="27"/>
      <c r="T29" s="27"/>
      <c r="U29" s="30"/>
      <c r="V29" s="29">
        <v>1</v>
      </c>
      <c r="W29" s="29">
        <f>Analysis!W73*Analysis!X73</f>
        <v>0.03</v>
      </c>
      <c r="X29" s="29">
        <f>Analysis!Y73*W29</f>
        <v>7.4999999999999997E-3</v>
      </c>
      <c r="Y29" s="173">
        <f>Analysis!Y73^2*W29</f>
        <v>1.8749999999999999E-3</v>
      </c>
      <c r="Z29" s="173">
        <f>Analysis!W73^3*Analysis!X73/12</f>
        <v>6.2500000000000001E-4</v>
      </c>
      <c r="AA29" s="26">
        <f>Analysis!Z73*W29</f>
        <v>8.9999999999999998E-4</v>
      </c>
      <c r="AB29" s="26">
        <f>Analysis!Z73^2*W29</f>
        <v>2.6999999999999999E-5</v>
      </c>
      <c r="AC29" s="172">
        <f>Analysis!X73^3*Analysis!W73/12</f>
        <v>9.0000000000000002E-6</v>
      </c>
      <c r="AD29" s="26"/>
      <c r="AE29" s="29">
        <v>1</v>
      </c>
      <c r="AF29" s="29">
        <f>W29</f>
        <v>0.03</v>
      </c>
      <c r="AG29" s="174">
        <f>(Analysis!Y73-$AB$44)*AF29</f>
        <v>0</v>
      </c>
      <c r="AH29" s="173">
        <f>(Analysis!Y73-$AB$44)^2*AF29</f>
        <v>0</v>
      </c>
      <c r="AI29" s="173">
        <f>Z29</f>
        <v>6.2500000000000001E-4</v>
      </c>
      <c r="AJ29" s="26">
        <f>(Analysis!Z73-$AD$44)*AF29</f>
        <v>-1.4999999999999999E-2</v>
      </c>
      <c r="AK29" s="26">
        <f>(Analysis!Z73-$AD$44)^2*AF29</f>
        <v>7.4999999999999997E-3</v>
      </c>
      <c r="AL29" s="172">
        <f>AC29</f>
        <v>9.0000000000000002E-6</v>
      </c>
      <c r="AM29" s="167">
        <f>IF(Analysis!W73=0,"",Analysis!Y73+Analysis!W73/2)</f>
        <v>0.5</v>
      </c>
      <c r="AN29" s="166">
        <f>IF(Analysis!W73=0,"",AN28)</f>
        <v>0.06</v>
      </c>
      <c r="AO29" s="26"/>
      <c r="AP29" s="167">
        <f>IF(Analysis!W74=0,"",Analysis!Y74+Analysis!W74/2)</f>
        <v>0.28000000000000003</v>
      </c>
      <c r="AQ29" s="166">
        <f>IF(Analysis!W74=0,"",AQ28)</f>
        <v>1</v>
      </c>
      <c r="AR29" s="26"/>
      <c r="AS29" s="167">
        <f>IF(Analysis!W75=0,"",Analysis!Y75+Analysis!W75/2)</f>
        <v>0.5</v>
      </c>
      <c r="AT29" s="166">
        <f>IF(Analysis!W75=0,"",AT28)</f>
        <v>1.06</v>
      </c>
    </row>
    <row r="30" spans="1:46" s="28" customFormat="1" ht="13.8" customHeight="1" x14ac:dyDescent="0.3">
      <c r="A30" s="76"/>
      <c r="B30" s="127" t="s">
        <v>60</v>
      </c>
      <c r="C30" s="28" t="str">
        <f>[1]!xln(C31)</f>
        <v>(1E+07) × 0.04³ / (12 × (1 - 0.33²))</v>
      </c>
      <c r="F30" s="79"/>
      <c r="G30" s="79"/>
      <c r="H30" s="99"/>
      <c r="I30" s="105"/>
      <c r="J30" s="79"/>
      <c r="L30" s="30"/>
      <c r="M30" s="27"/>
      <c r="N30" s="27"/>
      <c r="O30" s="27"/>
      <c r="P30" s="27"/>
      <c r="Q30" s="27"/>
      <c r="R30" s="27"/>
      <c r="S30" s="27"/>
      <c r="T30" s="27"/>
      <c r="U30" s="30"/>
      <c r="V30" s="29">
        <v>2</v>
      </c>
      <c r="W30" s="29">
        <f>Analysis!W74*Analysis!X74</f>
        <v>5.6399999999999992E-2</v>
      </c>
      <c r="X30" s="29">
        <f>Analysis!Y74*W30</f>
        <v>1.4099999999999998E-2</v>
      </c>
      <c r="Y30" s="173">
        <f>Analysis!Y74^2*W30</f>
        <v>3.5249999999999995E-3</v>
      </c>
      <c r="Z30" s="173">
        <f>Analysis!W74^3*Analysis!X74/12</f>
        <v>1.6919999999999997E-5</v>
      </c>
      <c r="AA30" s="26">
        <f>Analysis!Z74*W30</f>
        <v>2.9891999999999998E-2</v>
      </c>
      <c r="AB30" s="26">
        <f>Analysis!Z74^2*W30</f>
        <v>1.5842760000000001E-2</v>
      </c>
      <c r="AC30" s="172">
        <f>Analysis!X74^3*Analysis!W74/12</f>
        <v>4.1529199999999992E-3</v>
      </c>
      <c r="AD30" s="26"/>
      <c r="AE30" s="29">
        <v>2</v>
      </c>
      <c r="AF30" s="29">
        <f>W30</f>
        <v>5.6399999999999992E-2</v>
      </c>
      <c r="AG30" s="174">
        <f>(Analysis!Y74-$AB$44)*AF30</f>
        <v>0</v>
      </c>
      <c r="AH30" s="173">
        <f>(Analysis!Y74-$AB$44)^2*AF30</f>
        <v>0</v>
      </c>
      <c r="AI30" s="173">
        <f>Z30</f>
        <v>1.6919999999999997E-5</v>
      </c>
      <c r="AJ30" s="26">
        <f>(Analysis!Z74-$AD$44)*AF30</f>
        <v>0</v>
      </c>
      <c r="AK30" s="26">
        <f>(Analysis!Z74-$AD$44)^2*AF30</f>
        <v>0</v>
      </c>
      <c r="AL30" s="172">
        <f>AC30</f>
        <v>4.1529199999999992E-3</v>
      </c>
      <c r="AM30" s="167">
        <f>IF(Analysis!W73=0,"",AM29)</f>
        <v>0.5</v>
      </c>
      <c r="AN30" s="166">
        <f>IF(Analysis!W73=0,"",AN27)</f>
        <v>0</v>
      </c>
      <c r="AO30" s="26"/>
      <c r="AP30" s="167">
        <f>IF(Analysis!W74=0,"",AP29)</f>
        <v>0.28000000000000003</v>
      </c>
      <c r="AQ30" s="166">
        <f>IF(Analysis!W74=0,"",AQ27)</f>
        <v>6.0000000000000053E-2</v>
      </c>
      <c r="AR30" s="26"/>
      <c r="AS30" s="167">
        <f>IF(Analysis!W75=0,"",AS29)</f>
        <v>0.5</v>
      </c>
      <c r="AT30" s="166">
        <f>IF(Analysis!W75=0,"",AT27)</f>
        <v>1</v>
      </c>
    </row>
    <row r="31" spans="1:46" s="28" customFormat="1" ht="13.8" x14ac:dyDescent="0.3">
      <c r="A31" s="76"/>
      <c r="B31" s="127" t="s">
        <v>87</v>
      </c>
      <c r="C31" s="122">
        <f>C32*C33^3/(12*(1-C34^2))</f>
        <v>59.851120338158836</v>
      </c>
      <c r="D31" s="76" t="s">
        <v>53</v>
      </c>
      <c r="E31" s="79"/>
      <c r="L31" s="30"/>
      <c r="M31" s="27"/>
      <c r="N31" s="27"/>
      <c r="O31" s="27"/>
      <c r="P31" s="27"/>
      <c r="Q31" s="27"/>
      <c r="R31" s="27"/>
      <c r="S31" s="27"/>
      <c r="T31" s="27"/>
      <c r="U31" s="30"/>
      <c r="V31" s="29">
        <v>3</v>
      </c>
      <c r="W31" s="29">
        <f>Analysis!W75*Analysis!X75</f>
        <v>0.03</v>
      </c>
      <c r="X31" s="29">
        <f>Analysis!Y75*W31</f>
        <v>7.4999999999999997E-3</v>
      </c>
      <c r="Y31" s="173">
        <f>Analysis!Y75^2*W31</f>
        <v>1.8749999999999999E-3</v>
      </c>
      <c r="Z31" s="173">
        <f>Analysis!W75^3*Analysis!X75/12</f>
        <v>6.2500000000000001E-4</v>
      </c>
      <c r="AA31" s="26">
        <f>Analysis!Z75*W31</f>
        <v>3.09E-2</v>
      </c>
      <c r="AB31" s="26">
        <f>Analysis!Z75^2*W31</f>
        <v>3.1826999999999994E-2</v>
      </c>
      <c r="AC31" s="172">
        <f>Analysis!X75^3*Analysis!W75/12</f>
        <v>9.0000000000000002E-6</v>
      </c>
      <c r="AD31" s="26"/>
      <c r="AE31" s="29">
        <v>3</v>
      </c>
      <c r="AF31" s="29">
        <f>W31</f>
        <v>0.03</v>
      </c>
      <c r="AG31" s="174">
        <f>(Analysis!Y75-$AB$44)*AF31</f>
        <v>0</v>
      </c>
      <c r="AH31" s="173">
        <f>(Analysis!Y75-$AB$44)^2*AF31</f>
        <v>0</v>
      </c>
      <c r="AI31" s="173">
        <f>Z31</f>
        <v>6.2500000000000001E-4</v>
      </c>
      <c r="AJ31" s="26">
        <f>(Analysis!Z75-$AD$44)*AF31</f>
        <v>1.4999999999999999E-2</v>
      </c>
      <c r="AK31" s="26">
        <f>(Analysis!Z75-$AD$44)^2*AF31</f>
        <v>7.4999999999999997E-3</v>
      </c>
      <c r="AL31" s="172">
        <f>AC31</f>
        <v>9.0000000000000002E-6</v>
      </c>
      <c r="AM31" s="167">
        <f>IF(Analysis!W73=0,"",AM27)</f>
        <v>0</v>
      </c>
      <c r="AN31" s="171">
        <f>IF(Analysis!W73=0,"",AN27)</f>
        <v>0</v>
      </c>
      <c r="AO31" s="26"/>
      <c r="AP31" s="167">
        <f>IF(Analysis!W74=0,"",AP27)</f>
        <v>0.22</v>
      </c>
      <c r="AQ31" s="171">
        <f>IF(Analysis!W74=0,"",AQ27)</f>
        <v>6.0000000000000053E-2</v>
      </c>
      <c r="AR31" s="26"/>
      <c r="AS31" s="167">
        <f>IF(Analysis!W75=0,"",AS27)</f>
        <v>0</v>
      </c>
      <c r="AT31" s="171">
        <f>AT27</f>
        <v>1</v>
      </c>
    </row>
    <row r="32" spans="1:46" s="28" customFormat="1" ht="15" x14ac:dyDescent="0.35">
      <c r="A32" s="79"/>
      <c r="B32" s="130" t="s">
        <v>61</v>
      </c>
      <c r="C32" s="119">
        <v>10000000</v>
      </c>
      <c r="D32" s="79" t="s">
        <v>69</v>
      </c>
      <c r="E32" s="76"/>
      <c r="F32" s="76"/>
      <c r="I32" s="76"/>
      <c r="J32" s="76"/>
      <c r="K32" s="76"/>
      <c r="L32" s="30"/>
      <c r="M32" s="27"/>
      <c r="N32" s="27"/>
      <c r="O32" s="27"/>
      <c r="P32" s="27"/>
      <c r="Q32" s="27"/>
      <c r="R32" s="27"/>
      <c r="S32" s="27"/>
      <c r="T32" s="27"/>
      <c r="U32" s="30"/>
      <c r="V32" s="29">
        <v>4</v>
      </c>
      <c r="W32" s="29"/>
      <c r="X32" s="29"/>
      <c r="Y32" s="173"/>
      <c r="Z32" s="173"/>
      <c r="AA32" s="26"/>
      <c r="AB32" s="26"/>
      <c r="AC32" s="172"/>
      <c r="AD32" s="26"/>
      <c r="AE32" s="29"/>
      <c r="AF32" s="29"/>
      <c r="AG32" s="174"/>
      <c r="AH32" s="173"/>
      <c r="AI32" s="173"/>
      <c r="AJ32" s="26"/>
      <c r="AK32" s="26"/>
      <c r="AL32" s="172"/>
      <c r="AM32" s="170"/>
      <c r="AN32" s="166"/>
      <c r="AO32" s="26"/>
      <c r="AP32" s="170"/>
      <c r="AQ32" s="166"/>
      <c r="AR32" s="26"/>
      <c r="AS32" s="170"/>
      <c r="AT32" s="166"/>
    </row>
    <row r="33" spans="1:46" s="28" customFormat="1" ht="13.8" x14ac:dyDescent="0.3">
      <c r="A33" s="76"/>
      <c r="B33" s="127" t="s">
        <v>63</v>
      </c>
      <c r="C33" s="119">
        <v>0.04</v>
      </c>
      <c r="D33" s="76" t="s">
        <v>71</v>
      </c>
      <c r="E33" s="76"/>
      <c r="F33" s="76"/>
      <c r="G33" s="76"/>
      <c r="H33" s="78"/>
      <c r="J33" s="76"/>
      <c r="K33" s="79"/>
      <c r="L33" s="30"/>
      <c r="M33" s="27"/>
      <c r="N33" s="27"/>
      <c r="O33" s="27"/>
      <c r="P33" s="27"/>
      <c r="Q33" s="27"/>
      <c r="R33" s="27"/>
      <c r="S33" s="27"/>
      <c r="T33" s="27"/>
      <c r="U33" s="30"/>
      <c r="V33" s="29">
        <v>5</v>
      </c>
      <c r="W33" s="29"/>
      <c r="X33" s="29"/>
      <c r="Y33" s="173"/>
      <c r="Z33" s="173"/>
      <c r="AA33" s="26"/>
      <c r="AB33" s="26"/>
      <c r="AC33" s="172"/>
      <c r="AD33" s="26"/>
      <c r="AE33" s="29"/>
      <c r="AF33" s="29"/>
      <c r="AG33" s="174"/>
      <c r="AH33" s="173"/>
      <c r="AI33" s="173"/>
      <c r="AJ33" s="26"/>
      <c r="AK33" s="26"/>
      <c r="AL33" s="172"/>
      <c r="AM33" s="167"/>
      <c r="AN33" s="166"/>
      <c r="AO33" s="26"/>
      <c r="AP33" s="167"/>
      <c r="AQ33" s="166"/>
      <c r="AR33" s="26"/>
      <c r="AS33" s="167"/>
      <c r="AT33" s="166"/>
    </row>
    <row r="34" spans="1:46" s="28" customFormat="1" ht="13.8" x14ac:dyDescent="0.3">
      <c r="A34" s="76"/>
      <c r="B34" s="127" t="s">
        <v>64</v>
      </c>
      <c r="C34" s="119">
        <v>0.33</v>
      </c>
      <c r="D34" s="82" t="s">
        <v>55</v>
      </c>
      <c r="E34" s="78"/>
      <c r="F34" s="76"/>
      <c r="G34" s="83"/>
      <c r="H34" s="78"/>
      <c r="I34" s="107"/>
      <c r="J34" s="76"/>
      <c r="K34" s="76"/>
      <c r="L34" s="30"/>
      <c r="M34" s="27"/>
      <c r="N34" s="27"/>
      <c r="O34" s="27"/>
      <c r="P34" s="27"/>
      <c r="Q34" s="27"/>
      <c r="R34" s="27"/>
      <c r="S34" s="27"/>
      <c r="T34" s="27"/>
      <c r="U34" s="30"/>
      <c r="V34" s="29">
        <v>6</v>
      </c>
      <c r="W34" s="29"/>
      <c r="X34" s="29"/>
      <c r="Y34" s="173"/>
      <c r="Z34" s="173"/>
      <c r="AA34" s="26"/>
      <c r="AB34" s="26"/>
      <c r="AC34" s="172"/>
      <c r="AD34" s="26"/>
      <c r="AE34" s="29"/>
      <c r="AF34" s="29"/>
      <c r="AG34" s="174"/>
      <c r="AH34" s="173"/>
      <c r="AI34" s="173"/>
      <c r="AJ34" s="26"/>
      <c r="AK34" s="26"/>
      <c r="AL34" s="172"/>
      <c r="AM34" s="167"/>
      <c r="AN34" s="166"/>
      <c r="AO34" s="26"/>
      <c r="AP34" s="167"/>
      <c r="AQ34" s="166"/>
      <c r="AR34" s="26"/>
      <c r="AS34" s="167"/>
      <c r="AT34" s="166"/>
    </row>
    <row r="35" spans="1:46" s="28" customFormat="1" ht="13.8" x14ac:dyDescent="0.3">
      <c r="A35" s="80"/>
      <c r="B35" s="130" t="s">
        <v>65</v>
      </c>
      <c r="C35" s="105">
        <f>0.8*C29</f>
        <v>8</v>
      </c>
      <c r="D35" s="80" t="s">
        <v>89</v>
      </c>
      <c r="E35" s="84"/>
      <c r="F35" s="76"/>
      <c r="G35" s="83"/>
      <c r="H35" s="76"/>
      <c r="I35" s="108"/>
      <c r="J35" s="79"/>
      <c r="K35" s="76"/>
      <c r="L35" s="30"/>
      <c r="M35" s="27"/>
      <c r="N35" s="27"/>
      <c r="O35" s="27"/>
      <c r="P35" s="27"/>
      <c r="Q35" s="27"/>
      <c r="R35" s="27"/>
      <c r="S35" s="27"/>
      <c r="T35" s="27"/>
      <c r="U35" s="30"/>
      <c r="V35" s="29">
        <v>7</v>
      </c>
      <c r="W35" s="29"/>
      <c r="X35" s="29"/>
      <c r="Y35" s="173"/>
      <c r="Z35" s="173"/>
      <c r="AA35" s="26"/>
      <c r="AB35" s="26"/>
      <c r="AC35" s="172"/>
      <c r="AD35" s="26"/>
      <c r="AE35" s="29"/>
      <c r="AF35" s="29"/>
      <c r="AG35" s="174"/>
      <c r="AH35" s="173"/>
      <c r="AI35" s="173"/>
      <c r="AJ35" s="26"/>
      <c r="AK35" s="26"/>
      <c r="AL35" s="172"/>
      <c r="AM35" s="167"/>
      <c r="AN35" s="166"/>
      <c r="AO35" s="26"/>
      <c r="AP35" s="167"/>
      <c r="AQ35" s="166"/>
      <c r="AR35" s="26"/>
      <c r="AS35" s="167"/>
      <c r="AT35" s="166"/>
    </row>
    <row r="36" spans="1:46" s="28" customFormat="1" ht="13.8" x14ac:dyDescent="0.3">
      <c r="K36" s="76"/>
      <c r="L36" s="30"/>
      <c r="M36" s="27"/>
      <c r="N36" s="27"/>
      <c r="O36" s="27"/>
      <c r="P36" s="27"/>
      <c r="Q36" s="27"/>
      <c r="R36" s="27"/>
      <c r="S36" s="27"/>
      <c r="T36" s="27"/>
      <c r="U36" s="30"/>
      <c r="V36" s="29">
        <v>8</v>
      </c>
      <c r="W36" s="29"/>
      <c r="X36" s="29"/>
      <c r="Y36" s="173"/>
      <c r="Z36" s="173"/>
      <c r="AA36" s="26"/>
      <c r="AB36" s="26"/>
      <c r="AC36" s="172"/>
      <c r="AD36" s="26"/>
      <c r="AE36" s="29"/>
      <c r="AF36" s="29"/>
      <c r="AG36" s="174"/>
      <c r="AH36" s="173"/>
      <c r="AI36" s="173"/>
      <c r="AJ36" s="26"/>
      <c r="AK36" s="26"/>
      <c r="AL36" s="172"/>
      <c r="AM36" s="167"/>
      <c r="AN36" s="166"/>
      <c r="AO36" s="26"/>
      <c r="AP36" s="167"/>
      <c r="AQ36" s="166"/>
      <c r="AR36" s="26"/>
      <c r="AS36" s="167"/>
      <c r="AT36" s="166"/>
    </row>
    <row r="37" spans="1:46" s="28" customFormat="1" ht="13.8" x14ac:dyDescent="0.3">
      <c r="A37" s="80"/>
      <c r="B37" s="28" t="s">
        <v>93</v>
      </c>
      <c r="J37" s="79"/>
      <c r="K37" s="79"/>
      <c r="L37" s="30"/>
      <c r="M37" s="27"/>
      <c r="N37" s="27"/>
      <c r="O37" s="27"/>
      <c r="P37" s="27"/>
      <c r="Q37" s="27"/>
      <c r="R37" s="27"/>
      <c r="S37" s="27"/>
      <c r="T37" s="27"/>
      <c r="U37" s="30"/>
      <c r="V37" s="29">
        <v>9</v>
      </c>
      <c r="W37" s="29"/>
      <c r="X37" s="29"/>
      <c r="Y37" s="173"/>
      <c r="Z37" s="173"/>
      <c r="AA37" s="26"/>
      <c r="AB37" s="26"/>
      <c r="AC37" s="172"/>
      <c r="AD37" s="26"/>
      <c r="AE37" s="29"/>
      <c r="AF37" s="29"/>
      <c r="AG37" s="174"/>
      <c r="AH37" s="173"/>
      <c r="AI37" s="173"/>
      <c r="AJ37" s="26"/>
      <c r="AK37" s="26"/>
      <c r="AL37" s="172"/>
      <c r="AM37" s="167"/>
      <c r="AN37" s="171"/>
      <c r="AO37" s="26"/>
      <c r="AP37" s="167"/>
      <c r="AQ37" s="171"/>
      <c r="AR37" s="26"/>
      <c r="AS37" s="167"/>
      <c r="AT37" s="171"/>
    </row>
    <row r="38" spans="1:46" s="28" customFormat="1" ht="15" x14ac:dyDescent="0.3">
      <c r="A38" s="80"/>
      <c r="B38" s="99" t="s">
        <v>105</v>
      </c>
      <c r="C38" s="206" t="s">
        <v>74</v>
      </c>
      <c r="D38" s="206"/>
      <c r="K38" s="79"/>
      <c r="L38" s="30"/>
      <c r="M38" s="27"/>
      <c r="N38" s="27"/>
      <c r="O38" s="27"/>
      <c r="P38" s="27"/>
      <c r="Q38" s="27"/>
      <c r="R38" s="27"/>
      <c r="S38" s="27"/>
      <c r="T38" s="27"/>
      <c r="U38" s="30"/>
      <c r="V38" s="26"/>
      <c r="W38" s="29" t="s">
        <v>137</v>
      </c>
      <c r="X38" s="29" t="s">
        <v>136</v>
      </c>
      <c r="Y38" s="29" t="s">
        <v>135</v>
      </c>
      <c r="Z38" s="29" t="s">
        <v>134</v>
      </c>
      <c r="AA38" s="29" t="s">
        <v>133</v>
      </c>
      <c r="AB38" s="29" t="s">
        <v>132</v>
      </c>
      <c r="AC38" s="29" t="s">
        <v>131</v>
      </c>
      <c r="AD38" s="26"/>
      <c r="AE38" s="26"/>
      <c r="AF38" s="29" t="s">
        <v>137</v>
      </c>
      <c r="AG38" s="29" t="s">
        <v>136</v>
      </c>
      <c r="AH38" s="29" t="s">
        <v>135</v>
      </c>
      <c r="AI38" s="29" t="s">
        <v>134</v>
      </c>
      <c r="AJ38" s="29" t="s">
        <v>133</v>
      </c>
      <c r="AK38" s="29" t="s">
        <v>132</v>
      </c>
      <c r="AL38" s="29" t="s">
        <v>131</v>
      </c>
      <c r="AM38" s="170"/>
      <c r="AN38" s="166"/>
      <c r="AO38" s="26"/>
      <c r="AP38" s="170"/>
      <c r="AQ38" s="166"/>
      <c r="AR38" s="26"/>
      <c r="AS38" s="170"/>
      <c r="AT38" s="166"/>
    </row>
    <row r="39" spans="1:46" s="28" customFormat="1" ht="13.8" x14ac:dyDescent="0.3">
      <c r="B39" s="127" t="s">
        <v>58</v>
      </c>
      <c r="C39" s="204" t="s">
        <v>91</v>
      </c>
      <c r="D39" s="204"/>
      <c r="E39" s="204"/>
      <c r="F39" s="204"/>
      <c r="G39" s="204"/>
      <c r="H39" s="204"/>
      <c r="I39" s="204"/>
      <c r="J39" s="204"/>
      <c r="L39" s="30"/>
      <c r="M39" s="27"/>
      <c r="N39" s="27"/>
      <c r="O39" s="27"/>
      <c r="P39" s="27"/>
      <c r="Q39" s="27"/>
      <c r="R39" s="27"/>
      <c r="S39" s="27"/>
      <c r="T39" s="27"/>
      <c r="U39" s="30"/>
      <c r="V39" s="26"/>
      <c r="W39" s="168">
        <f t="shared" ref="W39:AC39" si="0">SUM(W29:W37)</f>
        <v>0.11639999999999999</v>
      </c>
      <c r="X39" s="168">
        <f t="shared" si="0"/>
        <v>2.9099999999999997E-2</v>
      </c>
      <c r="Y39" s="168">
        <f t="shared" si="0"/>
        <v>7.2749999999999993E-3</v>
      </c>
      <c r="Z39" s="168">
        <f t="shared" si="0"/>
        <v>1.2669199999999999E-3</v>
      </c>
      <c r="AA39" s="168">
        <f t="shared" si="0"/>
        <v>6.1691999999999997E-2</v>
      </c>
      <c r="AB39" s="168">
        <f t="shared" si="0"/>
        <v>4.7696759999999991E-2</v>
      </c>
      <c r="AC39" s="168">
        <f t="shared" si="0"/>
        <v>4.1709199999999998E-3</v>
      </c>
      <c r="AD39" s="26"/>
      <c r="AE39" s="26"/>
      <c r="AF39" s="31">
        <f t="shared" ref="AF39:AL39" si="1">SUM(AF29:AF37)</f>
        <v>0.11639999999999999</v>
      </c>
      <c r="AG39" s="31">
        <f t="shared" si="1"/>
        <v>0</v>
      </c>
      <c r="AH39" s="31">
        <f t="shared" si="1"/>
        <v>0</v>
      </c>
      <c r="AI39" s="31">
        <f t="shared" si="1"/>
        <v>1.2669199999999999E-3</v>
      </c>
      <c r="AJ39" s="31">
        <f t="shared" si="1"/>
        <v>0</v>
      </c>
      <c r="AK39" s="31">
        <f t="shared" si="1"/>
        <v>1.4999999999999999E-2</v>
      </c>
      <c r="AL39" s="31">
        <f t="shared" si="1"/>
        <v>4.1709199999999998E-3</v>
      </c>
      <c r="AM39" s="167"/>
      <c r="AN39" s="166"/>
      <c r="AO39" s="26"/>
      <c r="AP39" s="167"/>
      <c r="AQ39" s="166"/>
      <c r="AR39" s="26"/>
      <c r="AS39" s="167"/>
      <c r="AT39" s="166"/>
    </row>
    <row r="40" spans="1:46" s="28" customFormat="1" ht="13.8" x14ac:dyDescent="0.3">
      <c r="B40" s="128"/>
      <c r="C40" s="204"/>
      <c r="D40" s="204"/>
      <c r="E40" s="204"/>
      <c r="F40" s="204"/>
      <c r="G40" s="204"/>
      <c r="H40" s="204"/>
      <c r="I40" s="204"/>
      <c r="J40" s="204"/>
      <c r="L40" s="30"/>
      <c r="M40" s="27"/>
      <c r="N40" s="27"/>
      <c r="O40" s="27"/>
      <c r="P40" s="27"/>
      <c r="Q40" s="27"/>
      <c r="R40" s="27"/>
      <c r="S40" s="27"/>
      <c r="T40" s="27"/>
      <c r="U40" s="30"/>
      <c r="V40" s="26"/>
      <c r="W40" s="26"/>
      <c r="X40" s="26"/>
      <c r="Y40" s="26"/>
      <c r="Z40" s="26"/>
      <c r="AA40" s="26"/>
      <c r="AB40" s="141" t="s">
        <v>130</v>
      </c>
      <c r="AC40" s="141"/>
      <c r="AD40" s="141"/>
      <c r="AE40" s="141"/>
      <c r="AF40" s="26"/>
      <c r="AG40" s="26"/>
      <c r="AH40" s="26"/>
      <c r="AI40" s="26"/>
      <c r="AJ40" s="26"/>
      <c r="AK40" s="26"/>
      <c r="AL40" s="26"/>
      <c r="AM40" s="167"/>
      <c r="AN40" s="166"/>
      <c r="AO40" s="26"/>
      <c r="AP40" s="167"/>
      <c r="AQ40" s="166"/>
      <c r="AR40" s="26"/>
      <c r="AS40" s="167"/>
      <c r="AT40" s="166"/>
    </row>
    <row r="41" spans="1:46" s="28" customFormat="1" ht="13.8" x14ac:dyDescent="0.3">
      <c r="B41" s="127" t="s">
        <v>66</v>
      </c>
      <c r="C41" s="119">
        <v>7500</v>
      </c>
      <c r="D41" s="87" t="s">
        <v>72</v>
      </c>
      <c r="E41" s="85"/>
      <c r="L41" s="30"/>
      <c r="M41" s="27"/>
      <c r="N41" s="27"/>
      <c r="O41" s="27"/>
      <c r="P41" s="27"/>
      <c r="Q41" s="27"/>
      <c r="R41" s="27"/>
      <c r="S41" s="27"/>
      <c r="T41" s="27"/>
      <c r="U41" s="30"/>
      <c r="V41" s="26"/>
      <c r="W41" s="26"/>
      <c r="X41" s="26"/>
      <c r="Y41" s="26"/>
      <c r="Z41" s="26"/>
      <c r="AA41" s="26"/>
      <c r="AB41" s="141"/>
      <c r="AC41" s="141"/>
      <c r="AD41" s="141"/>
      <c r="AE41" s="141"/>
      <c r="AF41" s="26"/>
      <c r="AG41" s="26"/>
      <c r="AH41" s="26"/>
      <c r="AI41" s="26"/>
      <c r="AJ41" s="26"/>
      <c r="AK41" s="26"/>
      <c r="AL41" s="26"/>
      <c r="AM41" s="167"/>
      <c r="AN41" s="166"/>
      <c r="AO41" s="26"/>
      <c r="AP41" s="167"/>
      <c r="AQ41" s="166"/>
      <c r="AR41" s="26"/>
      <c r="AS41" s="167"/>
      <c r="AT41" s="166"/>
    </row>
    <row r="42" spans="1:46" s="28" customFormat="1" ht="15" x14ac:dyDescent="0.35">
      <c r="A42" s="81"/>
      <c r="B42" s="130" t="s">
        <v>62</v>
      </c>
      <c r="C42" s="119">
        <v>10000000</v>
      </c>
      <c r="D42" s="79" t="s">
        <v>70</v>
      </c>
      <c r="E42" s="76"/>
      <c r="F42" s="76"/>
      <c r="G42" s="76"/>
      <c r="K42" s="80"/>
      <c r="L42" s="30"/>
      <c r="M42" s="27"/>
      <c r="N42" s="27"/>
      <c r="O42" s="27"/>
      <c r="P42" s="27"/>
      <c r="Q42" s="27"/>
      <c r="R42" s="27"/>
      <c r="S42" s="27"/>
      <c r="T42" s="27"/>
      <c r="U42" s="30"/>
      <c r="V42" s="26"/>
      <c r="W42" s="26"/>
      <c r="X42" s="26"/>
      <c r="Y42" s="26"/>
      <c r="Z42" s="26"/>
      <c r="AA42" s="26"/>
      <c r="AB42" s="165" t="s">
        <v>129</v>
      </c>
      <c r="AC42" s="165" t="s">
        <v>128</v>
      </c>
      <c r="AD42" s="165" t="s">
        <v>127</v>
      </c>
      <c r="AE42" s="165" t="s">
        <v>126</v>
      </c>
      <c r="AF42" s="26"/>
      <c r="AG42" s="26"/>
      <c r="AH42" s="26"/>
      <c r="AI42" s="26"/>
      <c r="AJ42" s="26"/>
      <c r="AK42" s="26"/>
      <c r="AL42" s="26"/>
      <c r="AM42" s="167"/>
      <c r="AN42" s="166"/>
      <c r="AO42" s="26"/>
      <c r="AP42" s="167"/>
      <c r="AQ42" s="166"/>
      <c r="AR42" s="26"/>
      <c r="AS42" s="167"/>
      <c r="AT42" s="166"/>
    </row>
    <row r="43" spans="1:46" s="28" customFormat="1" x14ac:dyDescent="0.35">
      <c r="A43" s="76"/>
      <c r="B43" s="130" t="s">
        <v>90</v>
      </c>
      <c r="C43" s="119">
        <v>3000000</v>
      </c>
      <c r="D43" s="87" t="s">
        <v>88</v>
      </c>
      <c r="K43" s="76"/>
      <c r="L43" s="30"/>
      <c r="M43" s="27"/>
      <c r="N43" s="27"/>
      <c r="O43" s="27"/>
      <c r="P43" s="27"/>
      <c r="Q43" s="27"/>
      <c r="R43" s="27"/>
      <c r="S43" s="27"/>
      <c r="T43" s="27"/>
      <c r="U43" s="30"/>
      <c r="V43" s="26">
        <f>IF(Analysis!C38="I-Beam",Analysis!C46/2,IF(Analysis!C38="C-Beam",Analysis!C52/2,Analysis!C46-Analysis!C52/2))</f>
        <v>0.25</v>
      </c>
      <c r="W43" s="26"/>
      <c r="X43" s="26"/>
      <c r="Y43" s="26"/>
      <c r="Z43" s="26"/>
      <c r="AA43" s="26"/>
      <c r="AB43" s="165" t="s">
        <v>125</v>
      </c>
      <c r="AC43" s="165" t="s">
        <v>124</v>
      </c>
      <c r="AD43" s="165" t="s">
        <v>125</v>
      </c>
      <c r="AE43" s="165" t="s">
        <v>124</v>
      </c>
      <c r="AF43" s="26"/>
      <c r="AG43" s="26"/>
      <c r="AH43" s="26"/>
      <c r="AI43" s="26"/>
      <c r="AJ43" s="26"/>
      <c r="AK43" s="26"/>
      <c r="AL43" s="26"/>
      <c r="AM43" s="164"/>
      <c r="AN43" s="163"/>
      <c r="AO43" s="26"/>
      <c r="AP43" s="164"/>
      <c r="AQ43" s="163"/>
      <c r="AR43" s="26"/>
      <c r="AS43" s="164"/>
      <c r="AT43" s="163"/>
    </row>
    <row r="44" spans="1:46" s="28" customFormat="1" ht="15" x14ac:dyDescent="0.35">
      <c r="A44" s="76"/>
      <c r="B44" s="127" t="s">
        <v>67</v>
      </c>
      <c r="C44" s="133">
        <f>Analysis!AD53</f>
        <v>2.0437840000000002E-2</v>
      </c>
      <c r="D44" s="87" t="s">
        <v>149</v>
      </c>
      <c r="E44" s="85"/>
      <c r="F44" s="76"/>
      <c r="K44" s="76"/>
      <c r="L44" s="30"/>
      <c r="M44" s="27"/>
      <c r="N44" s="27"/>
      <c r="O44" s="27"/>
      <c r="P44" s="27"/>
      <c r="Q44" s="27"/>
      <c r="R44" s="27"/>
      <c r="S44" s="27"/>
      <c r="T44" s="27"/>
      <c r="U44" s="30"/>
      <c r="V44" s="26">
        <f>IF(Analysis!C38="I-Beam",Analysis!C46/2,IF(Analysis!C38="C-Beam",Analysis!C46/2,Analysis!C46+Analysis!C46/2-Analysis!C52/2))</f>
        <v>0.25</v>
      </c>
      <c r="W44" s="26"/>
      <c r="X44" s="26"/>
      <c r="Y44" s="26"/>
      <c r="Z44" s="26"/>
      <c r="AA44" s="26"/>
      <c r="AB44" s="158">
        <f>X39/W39</f>
        <v>0.25</v>
      </c>
      <c r="AC44" s="162">
        <f>Y39+Z39</f>
        <v>8.5419199999999997E-3</v>
      </c>
      <c r="AD44" s="26">
        <f>AA39/W39</f>
        <v>0.53</v>
      </c>
      <c r="AE44" s="162">
        <f>AB39+AC39</f>
        <v>5.1867679999999992E-2</v>
      </c>
      <c r="AF44" s="26"/>
      <c r="AG44" s="26"/>
      <c r="AH44" s="26"/>
      <c r="AI44" s="26"/>
      <c r="AJ44" s="26"/>
      <c r="AK44" s="26"/>
      <c r="AL44" s="26"/>
      <c r="AM44" s="26">
        <f>MIN(AN27:AN43,AQ27:AQ43,AT27:AT43)-0.5</f>
        <v>-0.5</v>
      </c>
      <c r="AN44" s="160">
        <f>AC46</f>
        <v>0.25</v>
      </c>
      <c r="AO44" s="26"/>
      <c r="AP44" s="159">
        <f>MIN(AM27:AM43,AP27:AP43,AS27:AS43)-0.5</f>
        <v>-0.5</v>
      </c>
      <c r="AQ44" s="159">
        <f>AA39/W39</f>
        <v>0.53</v>
      </c>
      <c r="AR44" s="26"/>
      <c r="AS44" s="26"/>
      <c r="AT44" s="26"/>
    </row>
    <row r="45" spans="1:46" s="28" customFormat="1" ht="15" x14ac:dyDescent="0.35">
      <c r="A45" s="76"/>
      <c r="B45" s="127" t="s">
        <v>83</v>
      </c>
      <c r="C45" s="133">
        <v>0.06</v>
      </c>
      <c r="D45" s="136" t="s">
        <v>95</v>
      </c>
      <c r="F45" s="76"/>
      <c r="K45" s="76"/>
      <c r="L45" s="30"/>
      <c r="M45" s="27"/>
      <c r="N45" s="27"/>
      <c r="O45" s="27"/>
      <c r="P45" s="27"/>
      <c r="Q45" s="27"/>
      <c r="R45" s="27"/>
      <c r="S45" s="27"/>
      <c r="T45" s="27"/>
      <c r="U45" s="30"/>
      <c r="V45" s="26"/>
      <c r="W45" s="26"/>
      <c r="X45" s="26"/>
      <c r="Y45" s="26"/>
      <c r="Z45" s="26"/>
      <c r="AA45" s="26"/>
      <c r="AB45" s="26"/>
      <c r="AC45" s="26"/>
      <c r="AD45" s="26"/>
      <c r="AE45" s="26"/>
      <c r="AF45" s="26"/>
      <c r="AG45" s="26"/>
      <c r="AH45" s="26"/>
      <c r="AI45" s="26"/>
      <c r="AJ45" s="26"/>
      <c r="AK45" s="26"/>
      <c r="AL45" s="26"/>
      <c r="AM45" s="26">
        <f>MAX(AN27:AN43,AQ27:AQ43,AT27:AT43)+0.5</f>
        <v>1.56</v>
      </c>
      <c r="AN45" s="160">
        <f>AN44</f>
        <v>0.25</v>
      </c>
      <c r="AO45" s="26"/>
      <c r="AP45" s="159">
        <f>MAX(AM27:AM43,AP27:AP43)+0.5</f>
        <v>1</v>
      </c>
      <c r="AQ45" s="159">
        <f>AQ44</f>
        <v>0.53</v>
      </c>
      <c r="AR45" s="26"/>
      <c r="AS45" s="26"/>
      <c r="AT45" s="26"/>
    </row>
    <row r="46" spans="1:46" s="28" customFormat="1" ht="13.8" x14ac:dyDescent="0.3">
      <c r="A46" s="76"/>
      <c r="B46" s="127" t="s">
        <v>59</v>
      </c>
      <c r="C46" s="133">
        <v>0.5</v>
      </c>
      <c r="D46" s="137" t="s">
        <v>96</v>
      </c>
      <c r="F46" s="76"/>
      <c r="G46" s="26"/>
      <c r="H46" s="98"/>
      <c r="I46" s="103"/>
      <c r="K46" s="76"/>
      <c r="L46" s="30"/>
      <c r="M46" s="27"/>
      <c r="N46" s="27"/>
      <c r="O46" s="27"/>
      <c r="P46" s="27"/>
      <c r="Q46" s="27"/>
      <c r="R46" s="27"/>
      <c r="S46" s="27"/>
      <c r="T46" s="27"/>
      <c r="U46" s="30"/>
      <c r="V46" s="26"/>
      <c r="W46" s="26"/>
      <c r="X46" s="26"/>
      <c r="Y46" s="26"/>
      <c r="Z46" s="26"/>
      <c r="AA46" s="26"/>
      <c r="AB46" s="146" t="s">
        <v>121</v>
      </c>
      <c r="AC46" s="158">
        <f>X39/W39</f>
        <v>0.25</v>
      </c>
      <c r="AD46" s="142" t="s">
        <v>111</v>
      </c>
      <c r="AE46" s="26"/>
      <c r="AF46" s="26"/>
      <c r="AG46" s="26"/>
      <c r="AH46" s="26"/>
      <c r="AI46" s="26"/>
      <c r="AJ46" s="26"/>
      <c r="AK46" s="26"/>
      <c r="AL46" s="26"/>
      <c r="AM46" s="26"/>
      <c r="AN46" s="26"/>
      <c r="AO46" s="26"/>
      <c r="AP46" s="26"/>
      <c r="AQ46" s="26"/>
      <c r="AR46" s="26"/>
      <c r="AS46" s="26"/>
      <c r="AT46" s="26"/>
    </row>
    <row r="47" spans="1:46" s="28" customFormat="1" ht="15" x14ac:dyDescent="0.35">
      <c r="A47" s="76"/>
      <c r="B47" s="127" t="s">
        <v>86</v>
      </c>
      <c r="C47" s="28" t="str">
        <f>[1]!xln(C48)</f>
        <v>0.5 × 0.06</v>
      </c>
      <c r="H47" s="99"/>
      <c r="I47" s="100"/>
      <c r="K47" s="76"/>
      <c r="L47" s="30"/>
      <c r="M47" s="27"/>
      <c r="N47" s="27"/>
      <c r="O47" s="27"/>
      <c r="P47" s="27"/>
      <c r="Q47" s="27"/>
      <c r="R47" s="27"/>
      <c r="S47" s="27"/>
      <c r="T47" s="27"/>
      <c r="U47" s="30"/>
      <c r="V47" s="26"/>
      <c r="W47" s="26"/>
      <c r="X47" s="26"/>
      <c r="Y47" s="26"/>
      <c r="Z47" s="26"/>
      <c r="AA47" s="26"/>
      <c r="AB47" s="26"/>
      <c r="AC47" s="26"/>
      <c r="AD47" s="26"/>
      <c r="AE47" s="26"/>
      <c r="AF47" s="26"/>
      <c r="AG47" s="26"/>
      <c r="AH47" s="26"/>
      <c r="AI47" s="26"/>
      <c r="AJ47" s="26"/>
      <c r="AK47" s="26"/>
      <c r="AL47" s="26"/>
      <c r="AM47" s="26"/>
      <c r="AN47" s="29"/>
      <c r="AO47" s="29"/>
      <c r="AP47" s="26"/>
      <c r="AQ47" s="98"/>
      <c r="AR47" s="26"/>
      <c r="AS47" s="26"/>
      <c r="AT47" s="26"/>
    </row>
    <row r="48" spans="1:46" s="28" customFormat="1" ht="13.8" x14ac:dyDescent="0.3">
      <c r="A48" s="76"/>
      <c r="B48" s="127" t="s">
        <v>87</v>
      </c>
      <c r="C48" s="132">
        <f>C46*C45</f>
        <v>0.03</v>
      </c>
      <c r="D48" s="137" t="s">
        <v>97</v>
      </c>
      <c r="K48" s="76"/>
      <c r="L48" s="30"/>
      <c r="M48" s="27"/>
      <c r="N48" s="27"/>
      <c r="O48" s="27"/>
      <c r="P48" s="27"/>
      <c r="Q48" s="27"/>
      <c r="R48" s="27"/>
      <c r="S48" s="27"/>
      <c r="T48" s="27"/>
      <c r="U48" s="30"/>
      <c r="V48" s="26"/>
      <c r="W48" s="26"/>
      <c r="X48" s="26"/>
      <c r="Y48" s="26"/>
      <c r="Z48" s="26"/>
      <c r="AA48" s="26"/>
      <c r="AB48" s="26"/>
      <c r="AC48" s="26"/>
      <c r="AD48" s="26"/>
      <c r="AE48" s="26"/>
      <c r="AF48" s="26"/>
      <c r="AG48" s="26"/>
      <c r="AH48" s="26"/>
      <c r="AI48" s="26"/>
      <c r="AJ48" s="26"/>
      <c r="AK48" s="26"/>
      <c r="AL48" s="26"/>
      <c r="AM48" s="26"/>
      <c r="AN48" s="29"/>
      <c r="AO48" s="29"/>
      <c r="AP48" s="26"/>
      <c r="AQ48" s="98"/>
      <c r="AR48" s="26"/>
      <c r="AS48" s="26"/>
      <c r="AT48" s="26"/>
    </row>
    <row r="49" spans="1:46" s="28" customFormat="1" ht="15" x14ac:dyDescent="0.35">
      <c r="A49" s="5"/>
      <c r="B49" s="127" t="s">
        <v>84</v>
      </c>
      <c r="C49" s="28" t="str">
        <f>[1]!xln(C50)</f>
        <v>0.5³ × 0.06 / 12</v>
      </c>
      <c r="K49" s="76"/>
      <c r="L49" s="30"/>
      <c r="M49" s="27"/>
      <c r="N49" s="27"/>
      <c r="O49" s="27"/>
      <c r="P49" s="27"/>
      <c r="Q49" s="27"/>
      <c r="R49" s="27"/>
      <c r="S49" s="27"/>
      <c r="T49" s="27"/>
      <c r="U49" s="30"/>
      <c r="V49" s="138"/>
      <c r="W49" s="139" t="s">
        <v>123</v>
      </c>
      <c r="X49" s="138"/>
      <c r="Y49" s="138"/>
      <c r="Z49" s="161" t="s">
        <v>122</v>
      </c>
      <c r="AA49" s="144"/>
      <c r="AB49" s="144"/>
      <c r="AC49" s="139" t="s">
        <v>110</v>
      </c>
      <c r="AD49" s="138"/>
      <c r="AE49" s="138"/>
      <c r="AF49" s="5" t="s">
        <v>150</v>
      </c>
      <c r="AG49" s="5"/>
      <c r="AH49" s="5"/>
      <c r="AI49" s="5"/>
      <c r="AJ49" s="26"/>
      <c r="AK49" s="26"/>
      <c r="AL49" s="26"/>
      <c r="AM49" s="26"/>
      <c r="AN49" s="29"/>
      <c r="AO49" s="29"/>
      <c r="AP49" s="26"/>
      <c r="AQ49" s="98"/>
      <c r="AR49" s="26"/>
      <c r="AS49" s="26"/>
      <c r="AT49" s="26"/>
    </row>
    <row r="50" spans="1:46" s="28" customFormat="1" ht="13.8" x14ac:dyDescent="0.3">
      <c r="A50" s="5"/>
      <c r="B50" s="127" t="s">
        <v>87</v>
      </c>
      <c r="C50" s="135">
        <f>C46^3*C45/12</f>
        <v>6.2500000000000001E-4</v>
      </c>
      <c r="D50" s="137" t="s">
        <v>98</v>
      </c>
      <c r="E50" s="85"/>
      <c r="F50" s="115"/>
      <c r="G50" s="85"/>
      <c r="H50" s="78"/>
      <c r="I50" s="116"/>
      <c r="K50" s="47"/>
      <c r="L50" s="30"/>
      <c r="M50" s="27"/>
      <c r="N50" s="27"/>
      <c r="O50" s="27"/>
      <c r="P50" s="27"/>
      <c r="Q50" s="27"/>
      <c r="R50" s="27"/>
      <c r="S50" s="27"/>
      <c r="T50" s="27"/>
      <c r="U50" s="30"/>
      <c r="V50" s="138"/>
      <c r="W50" s="138"/>
      <c r="X50" s="138"/>
      <c r="Y50" s="138"/>
      <c r="Z50" s="138"/>
      <c r="AA50" s="144"/>
      <c r="AB50" s="144"/>
      <c r="AC50" s="138"/>
      <c r="AD50" s="138"/>
      <c r="AE50" s="138"/>
      <c r="AF50" s="7" t="s">
        <v>106</v>
      </c>
      <c r="AG50" s="179" t="str">
        <f ca="1">[1]!xlv(AG52)</f>
        <v>3 × tF × b² / (h × tW + 6 × b × tF)</v>
      </c>
      <c r="AH50" s="5"/>
      <c r="AI50" s="5"/>
      <c r="AJ50" s="26"/>
      <c r="AK50" s="26"/>
      <c r="AL50" s="26"/>
      <c r="AM50" s="26"/>
      <c r="AN50" s="29"/>
      <c r="AO50" s="29"/>
      <c r="AP50" s="26"/>
      <c r="AQ50" s="98"/>
      <c r="AR50" s="26"/>
      <c r="AS50" s="26"/>
      <c r="AT50" s="26"/>
    </row>
    <row r="51" spans="1:46" s="28" customFormat="1" ht="15" x14ac:dyDescent="0.3">
      <c r="A51" s="5"/>
      <c r="B51" s="127" t="s">
        <v>81</v>
      </c>
      <c r="C51" s="134">
        <v>1</v>
      </c>
      <c r="D51" s="137" t="s">
        <v>99</v>
      </c>
      <c r="E51" s="78"/>
      <c r="F51" s="76"/>
      <c r="G51" s="76"/>
      <c r="H51" s="78"/>
      <c r="L51" s="30"/>
      <c r="M51" s="27"/>
      <c r="N51" s="27"/>
      <c r="O51" s="27"/>
      <c r="P51" s="27"/>
      <c r="Q51" s="27"/>
      <c r="R51" s="27"/>
      <c r="S51" s="27"/>
      <c r="T51" s="27"/>
      <c r="U51" s="30"/>
      <c r="V51" s="138"/>
      <c r="W51" s="145" t="s">
        <v>94</v>
      </c>
      <c r="X51" s="150">
        <f>Analysis!W39</f>
        <v>0.11639999999999999</v>
      </c>
      <c r="Y51" s="148" t="s">
        <v>120</v>
      </c>
      <c r="Z51" s="145" t="s">
        <v>119</v>
      </c>
      <c r="AA51" s="144" t="str">
        <f>[1]!xln(AA52)</f>
        <v>√[0.0192 / 0.116]</v>
      </c>
      <c r="AB51" s="144"/>
      <c r="AC51" s="145" t="s">
        <v>109</v>
      </c>
      <c r="AD51" s="152">
        <f>Analysis!AK39+Analysis!AL39</f>
        <v>1.9170920000000001E-2</v>
      </c>
      <c r="AE51" s="148" t="s">
        <v>107</v>
      </c>
      <c r="AF51" s="7" t="s">
        <v>106</v>
      </c>
      <c r="AG51" s="5" t="str">
        <f>[1]!xln(AG52)</f>
        <v>3 × 0.06 × 0.5² / (1 × 0.06 + 6 × 0.5 × 0.06)</v>
      </c>
      <c r="AH51" s="5"/>
      <c r="AI51" s="5"/>
      <c r="AJ51" s="26"/>
      <c r="AK51" s="26"/>
      <c r="AL51" s="26"/>
      <c r="AM51" s="26"/>
      <c r="AN51" s="29"/>
      <c r="AO51" s="29"/>
      <c r="AP51" s="26"/>
      <c r="AQ51" s="98"/>
      <c r="AR51" s="26"/>
      <c r="AS51" s="26"/>
      <c r="AT51" s="26"/>
    </row>
    <row r="52" spans="1:46" s="28" customFormat="1" ht="15" x14ac:dyDescent="0.35">
      <c r="A52" s="5"/>
      <c r="B52" s="127" t="s">
        <v>82</v>
      </c>
      <c r="C52" s="134">
        <v>0.06</v>
      </c>
      <c r="D52" s="136" t="s">
        <v>100</v>
      </c>
      <c r="E52" s="79"/>
      <c r="F52" s="76"/>
      <c r="G52" s="76"/>
      <c r="H52" s="78"/>
      <c r="K52" s="47"/>
      <c r="L52" s="30"/>
      <c r="M52" s="27"/>
      <c r="N52" s="27"/>
      <c r="O52" s="27"/>
      <c r="P52" s="27"/>
      <c r="Q52" s="27"/>
      <c r="R52" s="27"/>
      <c r="S52" s="27"/>
      <c r="T52" s="27"/>
      <c r="U52" s="30"/>
      <c r="V52" s="138"/>
      <c r="W52" s="143" t="s">
        <v>118</v>
      </c>
      <c r="X52" s="150">
        <f>Analysis!AN44-MIN(Analysis!AM27:AM43,Analysis!AP27:AP43,Analysis!AS27:AS43)</f>
        <v>0.25</v>
      </c>
      <c r="Y52" s="138" t="s">
        <v>111</v>
      </c>
      <c r="Z52" s="145" t="s">
        <v>106</v>
      </c>
      <c r="AA52" s="157">
        <f>SQRT(AD51/X51)</f>
        <v>0.40583078423100594</v>
      </c>
      <c r="AB52" s="153" t="s">
        <v>111</v>
      </c>
      <c r="AC52" s="151" t="s">
        <v>108</v>
      </c>
      <c r="AD52" s="150">
        <f>Analysis!AH39+Analysis!AI39</f>
        <v>1.2669199999999999E-3</v>
      </c>
      <c r="AE52" s="148" t="s">
        <v>107</v>
      </c>
      <c r="AF52" s="7" t="s">
        <v>151</v>
      </c>
      <c r="AG52" s="42">
        <f>3*C45*C46^2/(C51*C52+6*C46*C45)</f>
        <v>0.1875</v>
      </c>
      <c r="AH52" s="5" t="s">
        <v>111</v>
      </c>
      <c r="AI52" s="5"/>
      <c r="AJ52" s="26"/>
      <c r="AK52" s="26"/>
      <c r="AL52" s="26"/>
      <c r="AM52" s="26"/>
      <c r="AN52" s="29"/>
      <c r="AO52" s="29"/>
      <c r="AP52" s="26"/>
      <c r="AQ52" s="98"/>
      <c r="AR52" s="26"/>
      <c r="AS52" s="26"/>
      <c r="AT52" s="26"/>
    </row>
    <row r="53" spans="1:46" s="28" customFormat="1" ht="15" x14ac:dyDescent="0.35">
      <c r="A53" s="5"/>
      <c r="B53" s="127" t="s">
        <v>85</v>
      </c>
      <c r="C53" s="28" t="str">
        <f>[1]!xln(C54)</f>
        <v>0.06 × 1</v>
      </c>
      <c r="K53" s="47"/>
      <c r="L53" s="30"/>
      <c r="M53" s="27"/>
      <c r="N53" s="27"/>
      <c r="O53" s="27"/>
      <c r="P53" s="27"/>
      <c r="Q53" s="27"/>
      <c r="R53" s="27"/>
      <c r="S53" s="27"/>
      <c r="T53" s="27"/>
      <c r="U53" s="30"/>
      <c r="V53" s="138"/>
      <c r="W53" s="143" t="s">
        <v>117</v>
      </c>
      <c r="X53" s="155">
        <f>MAX(Analysis!AM27:AM43,Analysis!AP27:AP43,Analysis!AS27:AS43)-X52</f>
        <v>0.25</v>
      </c>
      <c r="Y53" s="138" t="s">
        <v>111</v>
      </c>
      <c r="Z53" s="145" t="s">
        <v>116</v>
      </c>
      <c r="AA53" s="144" t="str">
        <f>[1]!xln(AA54)</f>
        <v>√[0.00127 / 0.116]</v>
      </c>
      <c r="AB53" s="144"/>
      <c r="AC53" s="145" t="s">
        <v>148</v>
      </c>
      <c r="AD53" s="149">
        <f>AD52+AD51</f>
        <v>2.0437840000000002E-2</v>
      </c>
      <c r="AE53" s="148" t="s">
        <v>107</v>
      </c>
      <c r="AF53" s="5"/>
      <c r="AG53" s="5"/>
      <c r="AH53" s="5"/>
      <c r="AI53" s="5"/>
      <c r="AJ53" s="26"/>
      <c r="AK53" s="26"/>
      <c r="AL53" s="26"/>
      <c r="AM53" s="26"/>
      <c r="AN53" s="26"/>
      <c r="AO53" s="26"/>
      <c r="AP53" s="26"/>
      <c r="AQ53" s="98"/>
      <c r="AR53" s="26"/>
      <c r="AS53" s="26"/>
      <c r="AT53" s="26"/>
    </row>
    <row r="54" spans="1:46" s="28" customFormat="1" ht="15" x14ac:dyDescent="0.35">
      <c r="A54" s="5"/>
      <c r="B54" s="127" t="s">
        <v>87</v>
      </c>
      <c r="C54" s="132">
        <f>C52*C51</f>
        <v>0.06</v>
      </c>
      <c r="D54" s="136" t="s">
        <v>101</v>
      </c>
      <c r="E54" s="87"/>
      <c r="F54" s="79"/>
      <c r="G54" s="79"/>
      <c r="K54" s="47"/>
      <c r="L54" s="30"/>
      <c r="M54" s="27"/>
      <c r="N54" s="27"/>
      <c r="O54" s="27"/>
      <c r="P54" s="27"/>
      <c r="Q54" s="27"/>
      <c r="R54" s="27"/>
      <c r="S54" s="27"/>
      <c r="T54" s="27"/>
      <c r="U54" s="30"/>
      <c r="V54" s="138"/>
      <c r="W54" s="143" t="s">
        <v>115</v>
      </c>
      <c r="X54" s="150">
        <f>X56-X55</f>
        <v>0.53</v>
      </c>
      <c r="Y54" s="138" t="s">
        <v>111</v>
      </c>
      <c r="Z54" s="145" t="s">
        <v>106</v>
      </c>
      <c r="AA54" s="156">
        <f>SQRT(AD52/X51)</f>
        <v>0.1043273331388402</v>
      </c>
      <c r="AB54" s="153" t="s">
        <v>111</v>
      </c>
      <c r="AC54" s="5"/>
      <c r="AD54" s="5"/>
      <c r="AE54" s="5"/>
    </row>
    <row r="55" spans="1:46" s="28" customFormat="1" ht="15" x14ac:dyDescent="0.35">
      <c r="A55" s="5"/>
      <c r="B55" s="127" t="s">
        <v>94</v>
      </c>
      <c r="C55" s="28" t="str">
        <f>[1]!xln(C56)</f>
        <v>0.06 + 2 × 0.03</v>
      </c>
      <c r="I55" s="101"/>
      <c r="K55" s="47"/>
      <c r="L55" s="30"/>
      <c r="M55" s="27"/>
      <c r="N55" s="27"/>
      <c r="O55" s="27"/>
      <c r="P55" s="27"/>
      <c r="Q55" s="27"/>
      <c r="R55" s="27"/>
      <c r="S55" s="27"/>
      <c r="T55" s="27"/>
      <c r="U55" s="30"/>
      <c r="V55" s="138"/>
      <c r="W55" s="143" t="s">
        <v>114</v>
      </c>
      <c r="X55" s="150">
        <f>ABS(MIN(Analysis!AN27:AN43,Analysis!AQ27:AQ43,Analysis!AT27:AT43)-Analysis!AA39/Analysis!W39)</f>
        <v>0.53</v>
      </c>
      <c r="Y55" s="138" t="s">
        <v>111</v>
      </c>
      <c r="Z55" s="138"/>
      <c r="AA55" s="144"/>
      <c r="AB55" s="144"/>
    </row>
    <row r="56" spans="1:46" s="28" customFormat="1" ht="13.8" x14ac:dyDescent="0.3">
      <c r="A56" s="5"/>
      <c r="B56" s="127" t="s">
        <v>87</v>
      </c>
      <c r="C56" s="132">
        <f>C54+2*C48</f>
        <v>0.12</v>
      </c>
      <c r="D56" s="137" t="s">
        <v>102</v>
      </c>
      <c r="E56" s="76"/>
      <c r="F56" s="76"/>
      <c r="G56" s="83"/>
      <c r="H56" s="78"/>
      <c r="I56" s="116"/>
      <c r="K56" s="47"/>
      <c r="L56" s="30"/>
      <c r="M56" s="27"/>
      <c r="N56" s="27"/>
      <c r="O56" s="27"/>
      <c r="P56" s="27"/>
      <c r="Q56" s="27"/>
      <c r="R56" s="27"/>
      <c r="S56" s="27"/>
      <c r="T56" s="27"/>
      <c r="U56" s="30"/>
      <c r="V56" s="138"/>
      <c r="W56" s="143" t="s">
        <v>113</v>
      </c>
      <c r="X56" s="155">
        <f>MAX(Analysis!AN27:AN43,Analysis!AQ27:AQ43,Analysis!AT27:AT43)-MIN(Analysis!AN27:AN43,Analysis!AQ27:AQ43,Analysis!AT27:AT43)</f>
        <v>1.06</v>
      </c>
      <c r="Y56" s="141" t="s">
        <v>111</v>
      </c>
      <c r="Z56" s="142"/>
      <c r="AA56" s="142"/>
      <c r="AB56" s="139"/>
      <c r="AC56" s="154"/>
      <c r="AD56" s="153"/>
      <c r="AE56" s="26"/>
    </row>
    <row r="57" spans="1:46" s="28" customFormat="1" ht="13.8" x14ac:dyDescent="0.3">
      <c r="A57" s="5"/>
      <c r="B57" s="127" t="s">
        <v>103</v>
      </c>
      <c r="C57" s="28" t="str">
        <f>[1]!xln(C58)</f>
        <v>(1 × 0.06² + 2 × 0.5 × 0.06³) / 3</v>
      </c>
      <c r="E57" s="85"/>
      <c r="F57" s="115"/>
      <c r="G57" s="85"/>
      <c r="H57" s="78"/>
      <c r="I57" s="116"/>
      <c r="K57" s="47"/>
      <c r="L57" s="30"/>
      <c r="M57" s="27"/>
      <c r="N57" s="27"/>
      <c r="O57" s="27"/>
      <c r="P57" s="27"/>
      <c r="Q57" s="27"/>
      <c r="R57" s="27"/>
      <c r="S57" s="27"/>
      <c r="T57" s="27"/>
      <c r="U57" s="30"/>
      <c r="V57" s="138"/>
      <c r="W57" s="143" t="s">
        <v>112</v>
      </c>
      <c r="X57" s="155">
        <f>MAX(Analysis!AM27:AM43,Analysis!AP27:AP43,Analysis!AS27:AS43)-MIN(Analysis!AM27:AM43,Analysis!AP27:AP43,Analysis!AS27:AS43)</f>
        <v>0.5</v>
      </c>
      <c r="Y57" s="141" t="s">
        <v>111</v>
      </c>
      <c r="Z57" s="142"/>
      <c r="AA57" s="142"/>
      <c r="AB57" s="138"/>
      <c r="AC57" s="154"/>
      <c r="AD57" s="153"/>
      <c r="AE57" s="26"/>
    </row>
    <row r="58" spans="1:46" s="28" customFormat="1" ht="13.8" x14ac:dyDescent="0.3">
      <c r="A58" s="5"/>
      <c r="B58" s="127"/>
      <c r="C58" s="135">
        <f>(C51*C52^2+2*C46*C45^3)/3</f>
        <v>1.2719999999999999E-3</v>
      </c>
      <c r="D58" s="137" t="s">
        <v>104</v>
      </c>
      <c r="E58" s="85"/>
      <c r="F58" s="115"/>
      <c r="G58" s="85"/>
      <c r="H58" s="78"/>
      <c r="I58" s="116"/>
      <c r="K58" s="47"/>
      <c r="L58" s="30"/>
      <c r="M58" s="27"/>
      <c r="N58" s="27"/>
      <c r="O58" s="27"/>
      <c r="P58" s="27"/>
      <c r="Q58" s="27"/>
      <c r="R58" s="27"/>
      <c r="S58" s="27"/>
      <c r="T58" s="27"/>
      <c r="U58" s="30"/>
      <c r="V58" s="138"/>
      <c r="W58" s="142"/>
      <c r="X58" s="142"/>
      <c r="Y58" s="142"/>
      <c r="Z58" s="142"/>
      <c r="AA58" s="142"/>
      <c r="AB58" s="145"/>
      <c r="AC58" s="144"/>
      <c r="AD58" s="144"/>
      <c r="AE58" s="144"/>
    </row>
    <row r="59" spans="1:46" s="28" customFormat="1" ht="13.8" x14ac:dyDescent="0.3">
      <c r="A59" s="5"/>
      <c r="B59" s="127" t="s">
        <v>151</v>
      </c>
      <c r="C59" s="132">
        <f>IF(C38="C-Beam",AG52,0)</f>
        <v>0</v>
      </c>
      <c r="D59" s="137" t="s">
        <v>111</v>
      </c>
      <c r="E59" s="85"/>
      <c r="F59" s="115"/>
      <c r="G59" s="85"/>
      <c r="H59" s="78"/>
      <c r="I59" s="116"/>
      <c r="K59" s="47"/>
      <c r="L59" s="30"/>
      <c r="M59" s="27"/>
      <c r="N59" s="27"/>
      <c r="O59" s="27"/>
      <c r="P59" s="27"/>
      <c r="Q59" s="27"/>
      <c r="R59" s="27"/>
      <c r="S59" s="27"/>
      <c r="T59" s="27"/>
      <c r="U59" s="30"/>
      <c r="V59" s="138"/>
      <c r="Z59" s="138"/>
      <c r="AA59" s="138"/>
      <c r="AB59" s="145"/>
      <c r="AC59" s="147"/>
      <c r="AD59" s="144"/>
      <c r="AE59" s="144"/>
    </row>
    <row r="60" spans="1:46" s="28" customFormat="1" ht="13.8" x14ac:dyDescent="0.3">
      <c r="A60" s="56"/>
      <c r="B60" s="57"/>
      <c r="C60" s="58"/>
      <c r="D60" s="56"/>
      <c r="E60" s="56"/>
      <c r="F60" s="56"/>
      <c r="G60" s="58"/>
      <c r="H60" s="56"/>
      <c r="I60" s="56"/>
      <c r="J60" s="56"/>
      <c r="K60" s="56"/>
      <c r="L60" s="30"/>
      <c r="M60" s="27"/>
      <c r="N60" s="27"/>
      <c r="O60" s="27"/>
      <c r="P60" s="27"/>
      <c r="Q60" s="27"/>
      <c r="R60" s="27"/>
      <c r="S60" s="27"/>
      <c r="T60" s="27"/>
      <c r="U60" s="30"/>
      <c r="V60" s="138"/>
      <c r="Z60" s="138"/>
      <c r="AA60" s="138"/>
      <c r="AB60" s="145"/>
      <c r="AC60" s="144"/>
      <c r="AD60" s="144"/>
      <c r="AE60" s="144"/>
    </row>
    <row r="61" spans="1:46" s="28" customFormat="1" ht="13.8" x14ac:dyDescent="0.3">
      <c r="A61" s="56"/>
      <c r="B61" s="59"/>
      <c r="C61" s="58"/>
      <c r="D61" s="60"/>
      <c r="E61" s="60"/>
      <c r="F61" s="61" t="s">
        <v>33</v>
      </c>
      <c r="G61" s="58"/>
      <c r="H61" s="60"/>
      <c r="I61" s="60"/>
      <c r="J61" s="60"/>
      <c r="K61" s="56"/>
      <c r="L61" s="30"/>
      <c r="M61" s="27"/>
      <c r="N61" s="27"/>
      <c r="O61" s="27"/>
      <c r="P61" s="27"/>
      <c r="Q61" s="27"/>
      <c r="R61" s="27"/>
      <c r="S61" s="27"/>
      <c r="T61" s="27"/>
      <c r="U61" s="30"/>
      <c r="V61" s="138"/>
      <c r="Z61" s="138"/>
      <c r="AA61" s="138"/>
      <c r="AB61" s="145"/>
      <c r="AC61" s="147"/>
      <c r="AD61" s="144"/>
      <c r="AE61" s="144"/>
    </row>
    <row r="62" spans="1:46" s="28" customFormat="1" ht="13.8" x14ac:dyDescent="0.3">
      <c r="A62" s="56"/>
      <c r="B62" s="60"/>
      <c r="C62" s="60"/>
      <c r="D62" s="60"/>
      <c r="E62" s="60"/>
      <c r="F62" s="97" t="s">
        <v>46</v>
      </c>
      <c r="G62" s="60"/>
      <c r="H62" s="60"/>
      <c r="I62" s="60"/>
      <c r="J62" s="60"/>
      <c r="K62" s="56"/>
      <c r="L62" s="30"/>
      <c r="M62" s="27"/>
      <c r="N62" s="27"/>
      <c r="O62" s="27"/>
      <c r="P62" s="27"/>
      <c r="Q62" s="27"/>
      <c r="R62" s="27"/>
      <c r="S62" s="27"/>
      <c r="T62" s="27"/>
      <c r="U62" s="30"/>
      <c r="V62" s="138"/>
      <c r="Z62" s="138"/>
      <c r="AA62" s="138"/>
      <c r="AB62" s="145"/>
      <c r="AC62" s="144"/>
      <c r="AD62" s="144"/>
      <c r="AE62" s="144"/>
    </row>
    <row r="63" spans="1:46" s="5" customFormat="1" ht="13.8" x14ac:dyDescent="0.3">
      <c r="A63" s="14"/>
      <c r="E63" s="7" t="s">
        <v>1</v>
      </c>
      <c r="F63" s="8" t="str">
        <f>$C$1</f>
        <v>R. Abbott</v>
      </c>
      <c r="H63" s="15"/>
      <c r="I63" s="7" t="s">
        <v>8</v>
      </c>
      <c r="J63" s="16" t="str">
        <f>$G$2</f>
        <v>AA-SM-007-070</v>
      </c>
      <c r="K63" s="17"/>
      <c r="L63" s="18"/>
      <c r="M63" s="9"/>
      <c r="N63" s="9"/>
      <c r="O63" s="9"/>
      <c r="P63" s="9"/>
      <c r="Q63" s="11"/>
      <c r="R63" s="12"/>
      <c r="S63" s="36"/>
      <c r="T63" s="35"/>
      <c r="V63" s="138"/>
      <c r="Z63" s="138"/>
      <c r="AA63" s="138"/>
      <c r="AB63" s="145"/>
      <c r="AC63" s="147"/>
      <c r="AD63" s="144"/>
      <c r="AE63" s="144"/>
    </row>
    <row r="64" spans="1:46" s="5" customFormat="1" ht="13.8" x14ac:dyDescent="0.3">
      <c r="E64" s="7" t="s">
        <v>2</v>
      </c>
      <c r="F64" s="15" t="str">
        <f>$C$2</f>
        <v xml:space="preserve"> </v>
      </c>
      <c r="H64" s="15"/>
      <c r="I64" s="7" t="s">
        <v>9</v>
      </c>
      <c r="J64" s="17" t="str">
        <f>$G$3</f>
        <v>A</v>
      </c>
      <c r="K64" s="17"/>
      <c r="L64" s="18"/>
      <c r="M64" s="9">
        <v>1</v>
      </c>
      <c r="N64" s="9"/>
      <c r="O64" s="9"/>
      <c r="P64" s="9"/>
      <c r="Q64" s="11"/>
      <c r="R64" s="12"/>
      <c r="S64" s="36"/>
      <c r="T64" s="35"/>
    </row>
    <row r="65" spans="1:35" s="5" customFormat="1" ht="13.8" x14ac:dyDescent="0.3">
      <c r="E65" s="7" t="s">
        <v>3</v>
      </c>
      <c r="F65" s="15" t="str">
        <f>$C$3</f>
        <v>07/24/2016</v>
      </c>
      <c r="H65" s="15"/>
      <c r="I65" s="7" t="s">
        <v>6</v>
      </c>
      <c r="J65" s="8" t="str">
        <f>L65&amp;" of "&amp;$G$1</f>
        <v>2 of 2</v>
      </c>
      <c r="K65" s="15"/>
      <c r="L65" s="18">
        <f>SUM($M$1:M64)</f>
        <v>2</v>
      </c>
      <c r="M65" s="9"/>
      <c r="N65" s="9"/>
      <c r="O65" s="9"/>
      <c r="P65" s="9"/>
      <c r="Q65" s="11"/>
      <c r="R65" s="12"/>
      <c r="S65" s="36"/>
      <c r="T65" s="35"/>
    </row>
    <row r="66" spans="1:35" s="5" customFormat="1" ht="13.8" x14ac:dyDescent="0.3">
      <c r="A66" s="26"/>
      <c r="B66" s="26"/>
      <c r="C66" s="26"/>
      <c r="D66" s="26"/>
      <c r="E66" s="7" t="s">
        <v>28</v>
      </c>
      <c r="F66" s="15" t="str">
        <f>$C$5</f>
        <v>STANDARD SPREADSHEET METHOD</v>
      </c>
      <c r="I66" s="19"/>
      <c r="J66" s="8"/>
      <c r="M66" s="9"/>
      <c r="N66" s="9"/>
      <c r="O66" s="9"/>
      <c r="P66" s="9"/>
      <c r="Q66" s="9"/>
      <c r="R66" s="9"/>
      <c r="S66" s="34"/>
      <c r="T66" s="35"/>
    </row>
    <row r="67" spans="1:35" s="28" customFormat="1" x14ac:dyDescent="0.3">
      <c r="A67" s="73"/>
      <c r="B67" s="21" t="str">
        <f>$G$4</f>
        <v>BUCKLING EDGE ROTATIONAL RESTRAINT</v>
      </c>
      <c r="C67" s="74"/>
      <c r="D67" s="74"/>
      <c r="E67" s="75"/>
      <c r="F67" s="74"/>
      <c r="G67" s="74"/>
      <c r="H67" s="74"/>
      <c r="I67" s="74"/>
      <c r="J67" s="74"/>
      <c r="K67" s="74"/>
      <c r="L67" s="30"/>
      <c r="M67" s="37"/>
      <c r="N67" s="38"/>
      <c r="O67" s="38"/>
      <c r="P67" s="38"/>
      <c r="Q67" s="38"/>
      <c r="R67" s="37"/>
      <c r="S67" s="37"/>
      <c r="T67" s="39"/>
    </row>
    <row r="68" spans="1:35" s="26" customFormat="1" ht="13.8" x14ac:dyDescent="0.3">
      <c r="B68" s="203" t="s">
        <v>51</v>
      </c>
      <c r="C68" s="203"/>
      <c r="D68" s="203"/>
      <c r="L68" s="29"/>
      <c r="M68" s="27"/>
      <c r="N68" s="27"/>
      <c r="O68" s="27"/>
      <c r="P68" s="27"/>
      <c r="Q68" s="27"/>
      <c r="R68" s="27"/>
      <c r="S68" s="27"/>
      <c r="T68" s="27"/>
    </row>
    <row r="69" spans="1:35" s="26" customFormat="1" ht="13.8" x14ac:dyDescent="0.3">
      <c r="A69" s="76"/>
      <c r="B69" s="77"/>
      <c r="C69" s="76"/>
      <c r="D69" s="76"/>
      <c r="E69" s="76"/>
      <c r="F69" s="76"/>
      <c r="G69" s="76"/>
      <c r="H69" s="76"/>
      <c r="I69" s="76"/>
      <c r="J69" s="76"/>
      <c r="K69" s="76"/>
      <c r="M69" s="27"/>
      <c r="N69" s="27"/>
      <c r="O69" s="27"/>
      <c r="P69" s="27"/>
      <c r="Q69" s="27"/>
      <c r="R69" s="27"/>
      <c r="S69" s="27"/>
      <c r="T69" s="27"/>
    </row>
    <row r="70" spans="1:35" s="26" customFormat="1" ht="13.8" x14ac:dyDescent="0.3">
      <c r="M70" s="27"/>
      <c r="N70" s="27"/>
      <c r="O70" s="27"/>
      <c r="P70" s="27"/>
      <c r="Q70" s="27"/>
      <c r="R70" s="27"/>
      <c r="S70" s="27"/>
      <c r="T70" s="27"/>
      <c r="V70" s="40"/>
      <c r="W70" s="40"/>
      <c r="Y70" s="5"/>
      <c r="Z70" s="5"/>
      <c r="AA70" s="5"/>
      <c r="AB70" s="5"/>
      <c r="AC70" s="7"/>
      <c r="AD70" s="5"/>
      <c r="AE70" s="5"/>
      <c r="AF70" s="5"/>
      <c r="AG70" s="5"/>
      <c r="AH70" s="5"/>
      <c r="AI70" s="5"/>
    </row>
    <row r="71" spans="1:35" s="28" customFormat="1" ht="13.5" customHeight="1" x14ac:dyDescent="0.3">
      <c r="A71" s="76"/>
      <c r="B71" s="124"/>
      <c r="C71" s="126"/>
      <c r="D71" s="26"/>
      <c r="E71" s="26"/>
      <c r="F71" s="26"/>
      <c r="G71" s="78"/>
      <c r="H71" s="102"/>
      <c r="I71" s="76"/>
      <c r="J71" s="76"/>
      <c r="K71" s="76"/>
      <c r="L71" s="30"/>
      <c r="M71" s="27"/>
      <c r="N71" s="27"/>
      <c r="O71" s="27"/>
      <c r="P71" s="27"/>
      <c r="Q71" s="27"/>
      <c r="R71" s="27"/>
      <c r="S71" s="27"/>
      <c r="T71" s="27"/>
      <c r="U71" s="30"/>
      <c r="V71" s="165" t="s">
        <v>140</v>
      </c>
      <c r="W71" s="165" t="s">
        <v>139</v>
      </c>
      <c r="X71" s="165" t="s">
        <v>129</v>
      </c>
      <c r="Y71" s="165" t="s">
        <v>139</v>
      </c>
      <c r="Z71" s="165" t="s">
        <v>129</v>
      </c>
      <c r="AB71" s="46"/>
      <c r="AC71" s="5"/>
      <c r="AD71" s="5"/>
      <c r="AE71" s="5"/>
      <c r="AF71" s="5"/>
      <c r="AG71" s="5"/>
      <c r="AH71" s="5"/>
      <c r="AI71" s="5"/>
    </row>
    <row r="72" spans="1:35" s="28" customFormat="1" ht="13.8" x14ac:dyDescent="0.3">
      <c r="K72" s="76"/>
      <c r="L72" s="30"/>
      <c r="M72" s="27"/>
      <c r="N72" s="27"/>
      <c r="O72" s="27"/>
      <c r="P72" s="27"/>
      <c r="Q72" s="27"/>
      <c r="R72" s="27"/>
      <c r="S72" s="27"/>
      <c r="T72" s="27"/>
      <c r="U72" s="30"/>
      <c r="V72" s="140"/>
      <c r="W72" s="175" t="s">
        <v>138</v>
      </c>
      <c r="X72" s="175" t="s">
        <v>138</v>
      </c>
      <c r="Y72" s="175" t="s">
        <v>138</v>
      </c>
      <c r="Z72" s="175" t="s">
        <v>138</v>
      </c>
      <c r="AB72" s="31"/>
      <c r="AC72" s="5"/>
      <c r="AD72" s="5"/>
      <c r="AE72" s="5"/>
      <c r="AF72" s="5"/>
      <c r="AG72" s="5"/>
      <c r="AH72" s="5"/>
      <c r="AI72" s="5"/>
    </row>
    <row r="73" spans="1:35" s="28" customFormat="1" ht="13.8" x14ac:dyDescent="0.3">
      <c r="J73" s="76"/>
      <c r="K73" s="76"/>
      <c r="L73" s="30"/>
      <c r="M73" s="27"/>
      <c r="N73" s="27"/>
      <c r="O73" s="27"/>
      <c r="P73" s="27"/>
      <c r="Q73" s="27"/>
      <c r="R73" s="27"/>
      <c r="S73" s="27"/>
      <c r="T73" s="27"/>
      <c r="U73" s="30"/>
      <c r="V73" s="165">
        <v>1</v>
      </c>
      <c r="W73" s="169">
        <f>Analysis!C46</f>
        <v>0.5</v>
      </c>
      <c r="X73" s="169">
        <f>Analysis!C45</f>
        <v>0.06</v>
      </c>
      <c r="Y73" s="169">
        <f>W73/2</f>
        <v>0.25</v>
      </c>
      <c r="Z73" s="169">
        <f>X73/2</f>
        <v>0.03</v>
      </c>
      <c r="AB73" s="31"/>
      <c r="AC73" s="47"/>
      <c r="AD73" s="5"/>
      <c r="AE73" s="48"/>
      <c r="AF73" s="47"/>
      <c r="AG73" s="47"/>
      <c r="AH73" s="47"/>
      <c r="AI73" s="5"/>
    </row>
    <row r="74" spans="1:35" s="28" customFormat="1" ht="13.8" x14ac:dyDescent="0.3">
      <c r="A74" s="76"/>
      <c r="J74" s="76"/>
      <c r="K74" s="79"/>
      <c r="L74" s="30"/>
      <c r="M74" s="27"/>
      <c r="N74" s="27"/>
      <c r="O74" s="27"/>
      <c r="P74" s="27"/>
      <c r="Q74" s="27"/>
      <c r="R74" s="27"/>
      <c r="S74" s="27"/>
      <c r="T74" s="27"/>
      <c r="U74" s="30"/>
      <c r="V74" s="165">
        <v>2</v>
      </c>
      <c r="W74" s="169">
        <f>Analysis!C52</f>
        <v>0.06</v>
      </c>
      <c r="X74" s="169">
        <f>Analysis!C51-Analysis!C45</f>
        <v>0.94</v>
      </c>
      <c r="Y74" s="169">
        <f>Analysis!V43</f>
        <v>0.25</v>
      </c>
      <c r="Z74" s="169">
        <f>X73+X74/2</f>
        <v>0.53</v>
      </c>
      <c r="AB74" s="31"/>
      <c r="AC74" s="47"/>
      <c r="AD74" s="47"/>
      <c r="AE74" s="47"/>
      <c r="AF74" s="47"/>
      <c r="AG74" s="47"/>
      <c r="AH74" s="47"/>
      <c r="AI74" s="23"/>
    </row>
    <row r="75" spans="1:35" s="28" customFormat="1" ht="13.8" x14ac:dyDescent="0.3">
      <c r="A75" s="76"/>
      <c r="J75" s="79"/>
      <c r="K75" s="76"/>
      <c r="L75" s="30"/>
      <c r="M75" s="27"/>
      <c r="N75" s="27"/>
      <c r="O75" s="27"/>
      <c r="P75" s="27"/>
      <c r="Q75" s="27"/>
      <c r="R75" s="27"/>
      <c r="S75" s="27"/>
      <c r="T75" s="27"/>
      <c r="U75" s="30"/>
      <c r="V75" s="165">
        <v>3</v>
      </c>
      <c r="W75" s="169">
        <f>W73</f>
        <v>0.5</v>
      </c>
      <c r="X75" s="169">
        <f>X73</f>
        <v>0.06</v>
      </c>
      <c r="Y75" s="169">
        <f>Analysis!V44</f>
        <v>0.25</v>
      </c>
      <c r="Z75" s="169">
        <f>X73+X74+X75/2</f>
        <v>1.03</v>
      </c>
      <c r="AB75" s="31"/>
      <c r="AC75" s="51"/>
      <c r="AD75" s="51"/>
      <c r="AE75" s="51"/>
      <c r="AF75" s="51"/>
      <c r="AG75" s="51"/>
      <c r="AH75" s="51"/>
      <c r="AI75" s="23"/>
    </row>
    <row r="76" spans="1:35" s="28" customFormat="1" ht="13.8" x14ac:dyDescent="0.3">
      <c r="A76" s="79"/>
      <c r="J76" s="76"/>
      <c r="K76" s="76"/>
      <c r="L76" s="30"/>
      <c r="M76" s="27"/>
      <c r="N76" s="27"/>
      <c r="O76" s="27"/>
      <c r="P76" s="27"/>
      <c r="Q76" s="27"/>
      <c r="R76" s="27"/>
      <c r="S76" s="27"/>
      <c r="T76" s="27"/>
      <c r="U76" s="30"/>
      <c r="V76" s="40"/>
      <c r="W76" s="40"/>
      <c r="X76" s="30"/>
      <c r="Y76" s="5"/>
      <c r="Z76" s="46"/>
      <c r="AA76" s="18"/>
      <c r="AB76" s="43"/>
      <c r="AC76" s="5"/>
      <c r="AD76" s="5"/>
      <c r="AE76" s="5"/>
      <c r="AF76" s="5"/>
      <c r="AG76" s="5"/>
      <c r="AH76" s="5"/>
      <c r="AI76" s="5"/>
    </row>
    <row r="77" spans="1:35" s="28" customFormat="1" ht="13.8" x14ac:dyDescent="0.3">
      <c r="A77" s="76"/>
      <c r="J77" s="76"/>
      <c r="K77" s="76"/>
      <c r="L77" s="30"/>
      <c r="M77" s="27"/>
      <c r="N77" s="27"/>
      <c r="O77" s="27"/>
      <c r="P77" s="27"/>
      <c r="Q77" s="27"/>
      <c r="R77" s="27"/>
      <c r="S77" s="27"/>
      <c r="T77" s="27"/>
      <c r="U77" s="30"/>
      <c r="V77" s="40"/>
      <c r="W77" s="40"/>
      <c r="X77" s="30"/>
      <c r="Y77" s="23"/>
      <c r="Z77" s="5"/>
      <c r="AA77" s="51"/>
      <c r="AB77" s="5"/>
      <c r="AC77" s="5"/>
      <c r="AD77" s="5"/>
      <c r="AE77" s="5"/>
      <c r="AF77" s="5"/>
      <c r="AG77" s="5"/>
      <c r="AH77" s="51"/>
      <c r="AI77" s="5"/>
    </row>
    <row r="78" spans="1:35" s="28" customFormat="1" ht="13.8" x14ac:dyDescent="0.3">
      <c r="A78" s="76"/>
      <c r="J78" s="79"/>
      <c r="K78" s="76"/>
      <c r="L78" s="30"/>
      <c r="M78" s="27"/>
      <c r="N78" s="27"/>
      <c r="O78" s="27"/>
      <c r="P78" s="27"/>
      <c r="Q78" s="27"/>
      <c r="R78" s="27"/>
      <c r="S78" s="27"/>
      <c r="T78" s="27"/>
      <c r="U78" s="30"/>
      <c r="V78" s="40"/>
      <c r="W78" s="40"/>
      <c r="X78" s="30"/>
      <c r="Y78" s="5"/>
      <c r="Z78" s="5"/>
      <c r="AA78" s="18"/>
      <c r="AB78" s="18"/>
      <c r="AC78" s="18"/>
      <c r="AD78" s="18"/>
      <c r="AE78" s="18"/>
      <c r="AF78" s="18"/>
      <c r="AG78" s="18"/>
      <c r="AH78" s="51"/>
      <c r="AI78" s="5"/>
    </row>
    <row r="79" spans="1:35" s="28" customFormat="1" ht="13.8" x14ac:dyDescent="0.3">
      <c r="A79" s="80"/>
      <c r="J79" s="82"/>
      <c r="K79" s="76"/>
      <c r="L79" s="30"/>
      <c r="M79" s="27"/>
      <c r="N79" s="27"/>
      <c r="O79" s="27"/>
      <c r="P79" s="27"/>
      <c r="Q79" s="27"/>
      <c r="R79" s="27"/>
      <c r="S79" s="27"/>
      <c r="T79" s="27"/>
      <c r="U79" s="30"/>
      <c r="V79" s="40"/>
      <c r="W79" s="40"/>
      <c r="X79" s="30"/>
      <c r="Y79" s="5"/>
      <c r="Z79" s="5"/>
      <c r="AA79" s="52"/>
      <c r="AB79" s="18"/>
      <c r="AC79" s="18"/>
      <c r="AD79" s="18"/>
      <c r="AE79" s="18"/>
      <c r="AF79" s="18"/>
      <c r="AG79" s="18"/>
      <c r="AH79" s="51"/>
      <c r="AI79" s="5"/>
    </row>
    <row r="80" spans="1:35" s="28" customFormat="1" ht="14.4" x14ac:dyDescent="0.3">
      <c r="A80" s="80"/>
      <c r="B80" s="126"/>
      <c r="C80" s="124" t="s">
        <v>10</v>
      </c>
      <c r="D80" s="85"/>
      <c r="E80" s="115"/>
      <c r="F80" s="85"/>
      <c r="G80" s="78"/>
      <c r="H80" s="104"/>
      <c r="I80" s="115"/>
      <c r="J80" s="82"/>
      <c r="K80" s="76"/>
      <c r="L80" s="30"/>
      <c r="M80" s="27"/>
      <c r="N80" s="27"/>
      <c r="O80" s="27"/>
      <c r="P80" s="27"/>
      <c r="Q80" s="27"/>
      <c r="R80" s="27"/>
      <c r="S80" s="27"/>
      <c r="T80" s="27"/>
      <c r="U80" s="30"/>
      <c r="V80" s="40"/>
      <c r="W80" s="40"/>
      <c r="X80" s="30"/>
      <c r="Y80" s="5"/>
      <c r="Z80" s="5"/>
      <c r="AA80" s="52"/>
      <c r="AB80" s="18"/>
      <c r="AC80" s="18"/>
      <c r="AD80" s="18"/>
      <c r="AE80" s="18"/>
      <c r="AF80" s="18"/>
      <c r="AG80" s="18"/>
      <c r="AH80" s="5"/>
      <c r="AI80" s="5"/>
    </row>
    <row r="81" spans="1:35" s="28" customFormat="1" x14ac:dyDescent="0.3">
      <c r="A81" s="80"/>
      <c r="B81" s="125"/>
      <c r="C81" s="126"/>
      <c r="D81" s="115"/>
      <c r="E81" s="115"/>
      <c r="F81" s="115"/>
      <c r="G81" s="115"/>
      <c r="H81" s="115"/>
      <c r="I81" s="115"/>
      <c r="J81" s="82"/>
      <c r="K81" s="115"/>
      <c r="L81" s="30"/>
      <c r="M81" s="27"/>
      <c r="N81" s="27"/>
      <c r="O81" s="27"/>
      <c r="P81" s="27"/>
      <c r="Q81" s="27"/>
      <c r="R81" s="27"/>
      <c r="S81" s="27"/>
      <c r="T81" s="27"/>
      <c r="U81" s="30"/>
      <c r="AD81" s="18"/>
      <c r="AE81" s="18"/>
      <c r="AF81" s="18"/>
      <c r="AG81" s="18"/>
      <c r="AH81" s="5"/>
      <c r="AI81" s="5"/>
    </row>
    <row r="82" spans="1:35" s="28" customFormat="1" ht="15" x14ac:dyDescent="0.35">
      <c r="A82" s="80"/>
      <c r="B82" s="131" t="s">
        <v>56</v>
      </c>
      <c r="C82" s="205" t="s">
        <v>80</v>
      </c>
      <c r="D82" s="205"/>
      <c r="E82" s="205"/>
      <c r="F82" s="205"/>
      <c r="G82" s="205"/>
      <c r="H82" s="205"/>
      <c r="I82" s="205"/>
      <c r="J82" s="205"/>
      <c r="K82" s="80"/>
      <c r="L82" s="30"/>
      <c r="M82" s="27"/>
      <c r="N82" s="27"/>
      <c r="O82" s="27"/>
      <c r="P82" s="27"/>
      <c r="Q82" s="27"/>
      <c r="R82" s="27"/>
      <c r="S82" s="27"/>
      <c r="T82" s="27"/>
      <c r="U82" s="30"/>
      <c r="AD82" s="18"/>
      <c r="AE82" s="18"/>
      <c r="AF82" s="18"/>
      <c r="AG82" s="18"/>
      <c r="AH82" s="5"/>
      <c r="AI82" s="5"/>
    </row>
    <row r="83" spans="1:35" s="28" customFormat="1" ht="13.8" x14ac:dyDescent="0.3">
      <c r="A83" s="80"/>
      <c r="B83" s="99"/>
      <c r="C83" s="205"/>
      <c r="D83" s="205"/>
      <c r="E83" s="205"/>
      <c r="F83" s="205"/>
      <c r="G83" s="205"/>
      <c r="H83" s="205"/>
      <c r="I83" s="205"/>
      <c r="J83" s="205"/>
      <c r="K83" s="80"/>
      <c r="L83" s="30"/>
      <c r="M83" s="27"/>
      <c r="N83" s="27"/>
      <c r="O83" s="27"/>
      <c r="P83" s="27"/>
      <c r="Q83" s="27"/>
      <c r="R83" s="27"/>
      <c r="S83" s="27"/>
      <c r="T83" s="27"/>
      <c r="U83" s="30"/>
      <c r="AD83" s="51"/>
      <c r="AE83" s="51"/>
      <c r="AF83" s="51"/>
      <c r="AG83" s="51"/>
      <c r="AH83" s="51"/>
      <c r="AI83" s="23"/>
    </row>
    <row r="84" spans="1:35" s="28" customFormat="1" ht="13.8" x14ac:dyDescent="0.3">
      <c r="A84" s="76"/>
      <c r="C84" s="89"/>
      <c r="D84" s="76"/>
      <c r="E84" s="76"/>
      <c r="F84" s="81"/>
      <c r="G84" s="87"/>
      <c r="H84" s="76"/>
      <c r="I84" s="76"/>
      <c r="J84" s="76"/>
      <c r="K84" s="115"/>
      <c r="L84" s="30"/>
      <c r="M84" s="27"/>
      <c r="N84" s="27"/>
      <c r="O84" s="27"/>
      <c r="P84" s="27"/>
      <c r="Q84" s="27"/>
      <c r="R84" s="27"/>
      <c r="S84" s="27"/>
      <c r="T84" s="27"/>
      <c r="U84" s="30"/>
      <c r="AD84" s="5"/>
      <c r="AE84" s="45"/>
      <c r="AF84" s="45"/>
      <c r="AG84" s="45"/>
      <c r="AH84" s="45"/>
      <c r="AI84" s="44"/>
    </row>
    <row r="85" spans="1:35" s="28" customFormat="1" ht="15" x14ac:dyDescent="0.35">
      <c r="A85" s="76"/>
      <c r="C85" s="79"/>
      <c r="D85" s="121" t="s">
        <v>56</v>
      </c>
      <c r="E85" s="86"/>
      <c r="F85" s="76"/>
      <c r="G85" s="90"/>
      <c r="H85" s="79"/>
      <c r="I85" s="91"/>
      <c r="J85" s="76"/>
      <c r="K85" s="115"/>
      <c r="L85" s="30"/>
      <c r="M85" s="27"/>
      <c r="N85" s="27"/>
      <c r="O85" s="27"/>
      <c r="P85" s="27"/>
      <c r="Q85" s="27"/>
      <c r="R85" s="27"/>
      <c r="S85" s="27"/>
      <c r="T85" s="27"/>
      <c r="U85" s="30"/>
      <c r="AD85" s="18"/>
      <c r="AE85" s="45"/>
      <c r="AF85" s="45"/>
      <c r="AG85" s="45"/>
      <c r="AH85" s="45"/>
      <c r="AI85" s="44"/>
    </row>
    <row r="86" spans="1:35" s="28" customFormat="1" ht="13.8" x14ac:dyDescent="0.3">
      <c r="A86" s="76"/>
      <c r="C86" s="88"/>
      <c r="D86" s="89"/>
      <c r="F86" s="76"/>
      <c r="G86" s="76"/>
      <c r="H86" s="76"/>
      <c r="I86" s="76"/>
      <c r="J86" s="76"/>
      <c r="K86" s="115"/>
      <c r="L86" s="30"/>
      <c r="M86" s="27"/>
      <c r="N86" s="27"/>
      <c r="O86" s="27"/>
      <c r="P86" s="27"/>
      <c r="Q86" s="27"/>
      <c r="R86" s="27"/>
      <c r="S86" s="27"/>
      <c r="T86" s="27"/>
      <c r="U86" s="30"/>
      <c r="AD86" s="18"/>
      <c r="AE86" s="45"/>
      <c r="AF86" s="45"/>
      <c r="AG86" s="45"/>
      <c r="AH86" s="45"/>
      <c r="AI86" s="44"/>
    </row>
    <row r="87" spans="1:35" s="28" customFormat="1" ht="13.8" x14ac:dyDescent="0.3">
      <c r="A87" s="76"/>
      <c r="B87" s="28" t="s">
        <v>74</v>
      </c>
      <c r="C87" s="78"/>
      <c r="D87" s="92"/>
      <c r="E87" s="76"/>
      <c r="F87" s="123"/>
      <c r="G87" s="76"/>
      <c r="H87" s="76"/>
      <c r="I87" s="83"/>
      <c r="J87" s="76"/>
      <c r="K87" s="115"/>
      <c r="L87" s="30"/>
      <c r="M87" s="27"/>
      <c r="N87" s="27"/>
      <c r="O87" s="27"/>
      <c r="P87" s="27"/>
      <c r="Q87" s="27"/>
      <c r="R87" s="27"/>
      <c r="S87" s="27"/>
      <c r="T87" s="27"/>
      <c r="U87" s="30"/>
      <c r="W87" s="5"/>
      <c r="AB87" s="5"/>
      <c r="AC87" s="5"/>
      <c r="AD87" s="5"/>
      <c r="AE87" s="63"/>
      <c r="AF87" s="63"/>
      <c r="AG87" s="63"/>
      <c r="AH87" s="45"/>
      <c r="AI87" s="44"/>
    </row>
    <row r="88" spans="1:35" s="28" customFormat="1" ht="13.8" x14ac:dyDescent="0.3">
      <c r="A88" s="79"/>
      <c r="C88" s="78"/>
      <c r="D88" s="93"/>
      <c r="E88" s="76"/>
      <c r="F88" s="123"/>
      <c r="G88" s="76"/>
      <c r="H88" s="76"/>
      <c r="I88" s="83"/>
      <c r="J88" s="76"/>
      <c r="K88" s="82"/>
      <c r="L88" s="30"/>
      <c r="M88" s="27"/>
      <c r="N88" s="27"/>
      <c r="O88" s="27"/>
      <c r="P88" s="27"/>
      <c r="Q88" s="27"/>
      <c r="R88" s="27"/>
      <c r="S88" s="27"/>
      <c r="T88" s="27"/>
      <c r="U88" s="30"/>
      <c r="V88" s="28">
        <f>C50*C51^2/2</f>
        <v>3.1250000000000001E-4</v>
      </c>
      <c r="W88" s="5"/>
      <c r="AB88" s="5"/>
      <c r="AC88" s="179"/>
      <c r="AD88" s="18"/>
      <c r="AE88" s="179"/>
      <c r="AF88" s="63"/>
      <c r="AG88" s="63"/>
      <c r="AH88" s="45"/>
      <c r="AI88" s="44"/>
    </row>
    <row r="89" spans="1:35" s="28" customFormat="1" ht="13.8" x14ac:dyDescent="0.3">
      <c r="A89" s="76"/>
      <c r="C89" s="77"/>
      <c r="D89" s="77"/>
      <c r="E89" s="83"/>
      <c r="F89" s="123"/>
      <c r="G89" s="76"/>
      <c r="H89" s="76"/>
      <c r="I89" s="83"/>
      <c r="J89" s="76"/>
      <c r="K89" s="115"/>
      <c r="L89" s="30"/>
      <c r="M89" s="27"/>
      <c r="N89" s="27"/>
      <c r="O89" s="27"/>
      <c r="P89" s="27"/>
      <c r="Q89" s="27"/>
      <c r="R89" s="27"/>
      <c r="S89" s="27"/>
      <c r="T89" s="27"/>
      <c r="U89" s="30"/>
      <c r="W89" s="5"/>
      <c r="AB89" s="5"/>
      <c r="AC89" s="7"/>
      <c r="AD89" s="100"/>
      <c r="AE89" s="5"/>
      <c r="AF89" s="63"/>
      <c r="AG89" s="63"/>
      <c r="AH89" s="5"/>
      <c r="AI89" s="5"/>
    </row>
    <row r="90" spans="1:35" s="28" customFormat="1" ht="13.8" x14ac:dyDescent="0.3">
      <c r="A90" s="76"/>
      <c r="B90" s="28" t="s">
        <v>75</v>
      </c>
      <c r="C90" s="94"/>
      <c r="D90" s="83"/>
      <c r="E90" s="83"/>
      <c r="F90" s="123"/>
      <c r="G90" s="76"/>
      <c r="H90" s="76"/>
      <c r="I90" s="83"/>
      <c r="J90" s="76"/>
      <c r="K90" s="115"/>
      <c r="L90" s="30"/>
      <c r="M90" s="27"/>
      <c r="N90" s="27"/>
      <c r="O90" s="27"/>
      <c r="P90" s="27"/>
      <c r="Q90" s="27"/>
      <c r="R90" s="27"/>
      <c r="S90" s="27"/>
      <c r="T90" s="27"/>
      <c r="U90" s="30"/>
      <c r="V90" s="28">
        <f>C50*C51^2/2*(4-6*C59/C46)</f>
        <v>1.25E-3</v>
      </c>
      <c r="W90" s="5"/>
      <c r="AB90" s="5"/>
      <c r="AC90" s="5"/>
      <c r="AD90" s="5"/>
      <c r="AE90" s="5"/>
      <c r="AF90" s="63"/>
      <c r="AG90" s="63"/>
      <c r="AH90" s="41"/>
      <c r="AI90" s="41"/>
    </row>
    <row r="91" spans="1:35" s="28" customFormat="1" ht="13.8" x14ac:dyDescent="0.3">
      <c r="A91" s="80"/>
      <c r="C91" s="83"/>
      <c r="D91" s="83"/>
      <c r="E91" s="77"/>
      <c r="F91" s="76"/>
      <c r="G91" s="76"/>
      <c r="H91" s="83"/>
      <c r="I91" s="76"/>
      <c r="J91" s="76"/>
      <c r="K91" s="115"/>
      <c r="L91" s="30"/>
      <c r="M91" s="27"/>
      <c r="N91" s="27"/>
      <c r="O91" s="27"/>
      <c r="P91" s="27"/>
      <c r="Q91" s="27"/>
      <c r="R91" s="27"/>
      <c r="S91" s="27"/>
      <c r="T91" s="27"/>
      <c r="U91" s="30"/>
      <c r="W91" s="180"/>
      <c r="AB91" s="5"/>
      <c r="AC91" s="7"/>
      <c r="AD91" s="185"/>
      <c r="AE91" s="179"/>
      <c r="AF91" s="63"/>
      <c r="AG91" s="63"/>
      <c r="AH91" s="41"/>
      <c r="AI91" s="41"/>
    </row>
    <row r="92" spans="1:35" s="28" customFormat="1" ht="13.8" x14ac:dyDescent="0.3">
      <c r="A92" s="80"/>
      <c r="C92" s="5"/>
      <c r="D92" s="46"/>
      <c r="E92" s="46"/>
      <c r="F92" s="46"/>
      <c r="G92" s="5"/>
      <c r="H92" s="46"/>
      <c r="I92" s="46"/>
      <c r="J92" s="5"/>
      <c r="K92" s="82"/>
      <c r="L92" s="30"/>
      <c r="M92" s="27"/>
      <c r="N92" s="27"/>
      <c r="O92" s="27"/>
      <c r="P92" s="27"/>
      <c r="Q92" s="27"/>
      <c r="R92" s="27"/>
      <c r="S92" s="27"/>
      <c r="T92" s="27"/>
      <c r="U92" s="30"/>
      <c r="W92" s="180"/>
      <c r="X92" s="181"/>
      <c r="Y92" s="186"/>
      <c r="Z92" s="187"/>
      <c r="AA92" s="5"/>
      <c r="AB92" s="5"/>
      <c r="AC92" s="7"/>
      <c r="AD92" s="185"/>
      <c r="AE92" s="179"/>
      <c r="AF92" s="63"/>
      <c r="AG92" s="63"/>
      <c r="AH92" s="41"/>
      <c r="AI92" s="41"/>
    </row>
    <row r="93" spans="1:35" s="28" customFormat="1" ht="13.8" x14ac:dyDescent="0.3">
      <c r="A93" s="80"/>
      <c r="B93" s="28" t="s">
        <v>76</v>
      </c>
      <c r="C93" s="46"/>
      <c r="D93" s="53"/>
      <c r="E93" s="43"/>
      <c r="F93" s="40"/>
      <c r="G93" s="5"/>
      <c r="H93" s="49"/>
      <c r="I93" s="40"/>
      <c r="J93" s="47"/>
      <c r="K93" s="82"/>
      <c r="L93" s="30"/>
      <c r="M93" s="27"/>
      <c r="N93" s="27"/>
      <c r="O93" s="27"/>
      <c r="P93" s="27"/>
      <c r="Q93" s="27"/>
      <c r="R93" s="27"/>
      <c r="S93" s="27"/>
      <c r="T93" s="27"/>
      <c r="U93" s="30"/>
      <c r="V93" s="28">
        <f>C50*C51^2/2*(4-6*C48/C56)</f>
        <v>7.8125000000000004E-4</v>
      </c>
      <c r="W93" s="180"/>
      <c r="X93" s="181"/>
      <c r="Y93" s="182"/>
      <c r="Z93" s="183"/>
      <c r="AA93" s="184"/>
      <c r="AB93" s="5"/>
      <c r="AC93" s="188"/>
      <c r="AD93" s="185"/>
      <c r="AE93" s="179"/>
      <c r="AF93" s="63"/>
      <c r="AG93" s="63"/>
      <c r="AH93" s="41"/>
      <c r="AI93" s="41"/>
    </row>
    <row r="94" spans="1:35" s="28" customFormat="1" ht="13.8" x14ac:dyDescent="0.3">
      <c r="A94" s="76"/>
      <c r="C94" s="46"/>
      <c r="D94" s="53"/>
      <c r="E94" s="43"/>
      <c r="F94" s="40"/>
      <c r="G94" s="5"/>
      <c r="H94" s="49"/>
      <c r="I94" s="40"/>
      <c r="J94" s="47"/>
      <c r="K94" s="82"/>
      <c r="L94" s="30"/>
      <c r="M94" s="27"/>
      <c r="N94" s="27"/>
      <c r="O94" s="27"/>
      <c r="P94" s="27"/>
      <c r="Q94" s="27"/>
      <c r="R94" s="27"/>
      <c r="S94" s="27"/>
      <c r="T94" s="27"/>
      <c r="U94" s="30"/>
      <c r="W94" s="181"/>
      <c r="X94" s="181"/>
      <c r="Y94" s="189"/>
      <c r="Z94" s="183"/>
      <c r="AA94" s="184"/>
      <c r="AB94" s="5"/>
      <c r="AC94" s="190"/>
      <c r="AD94" s="185"/>
      <c r="AE94" s="179"/>
      <c r="AF94" s="63"/>
      <c r="AG94" s="63"/>
      <c r="AH94" s="41"/>
      <c r="AI94" s="41"/>
    </row>
    <row r="95" spans="1:35" s="28" customFormat="1" ht="13.8" x14ac:dyDescent="0.3">
      <c r="A95" s="80"/>
      <c r="B95" s="113"/>
      <c r="D95" s="87"/>
      <c r="E95" s="85"/>
      <c r="F95" s="115"/>
      <c r="G95" s="85"/>
      <c r="H95" s="78"/>
      <c r="I95" s="106"/>
      <c r="J95" s="82"/>
      <c r="K95" s="82"/>
      <c r="L95" s="30"/>
      <c r="M95" s="27"/>
      <c r="N95" s="27"/>
      <c r="O95" s="27"/>
      <c r="P95" s="27"/>
      <c r="Q95" s="27"/>
      <c r="R95" s="27"/>
      <c r="S95" s="27"/>
      <c r="T95" s="27"/>
      <c r="U95" s="30"/>
      <c r="V95" s="40"/>
      <c r="W95" s="180"/>
      <c r="X95" s="181"/>
      <c r="Y95" s="182"/>
      <c r="Z95" s="183"/>
      <c r="AA95" s="184"/>
      <c r="AB95" s="5"/>
      <c r="AC95" s="5"/>
      <c r="AD95" s="5"/>
      <c r="AE95" s="63"/>
      <c r="AF95" s="63"/>
      <c r="AG95" s="63"/>
      <c r="AH95" s="5"/>
      <c r="AI95" s="5"/>
    </row>
    <row r="96" spans="1:35" s="28" customFormat="1" ht="15" x14ac:dyDescent="0.35">
      <c r="A96" s="80"/>
      <c r="B96" s="131" t="s">
        <v>152</v>
      </c>
      <c r="C96" s="198">
        <f>IF(C38="I-Beam",V88,IF(C38="C-Beam",V90,V93))</f>
        <v>3.1250000000000001E-4</v>
      </c>
      <c r="D96" s="87"/>
      <c r="E96" s="85"/>
      <c r="F96" s="115"/>
      <c r="G96" s="85"/>
      <c r="H96" s="115"/>
      <c r="I96" s="116"/>
      <c r="J96" s="82"/>
      <c r="K96" s="82"/>
      <c r="L96" s="30"/>
      <c r="M96" s="27"/>
      <c r="N96" s="27"/>
      <c r="O96" s="27"/>
      <c r="P96" s="27"/>
      <c r="Q96" s="27"/>
      <c r="R96" s="27"/>
      <c r="S96" s="27"/>
      <c r="T96" s="27"/>
      <c r="U96" s="30"/>
      <c r="V96" s="40"/>
      <c r="W96" s="180"/>
      <c r="X96" s="7"/>
      <c r="Y96" s="189"/>
      <c r="Z96" s="183"/>
      <c r="AA96" s="5"/>
      <c r="AB96" s="5"/>
      <c r="AC96" s="5"/>
      <c r="AD96" s="5"/>
      <c r="AE96" s="5"/>
      <c r="AF96" s="63"/>
      <c r="AG96" s="63"/>
      <c r="AH96" s="5"/>
      <c r="AI96" s="51"/>
    </row>
    <row r="97" spans="1:35" s="28" customFormat="1" ht="13.8" x14ac:dyDescent="0.3">
      <c r="A97" s="80"/>
      <c r="B97" s="114"/>
      <c r="D97" s="87"/>
      <c r="E97" s="85"/>
      <c r="F97" s="115"/>
      <c r="G97" s="85"/>
      <c r="H97" s="78"/>
      <c r="I97" s="116"/>
      <c r="J97" s="82"/>
      <c r="K97" s="82"/>
      <c r="L97" s="30"/>
      <c r="M97" s="27"/>
      <c r="N97" s="27"/>
      <c r="O97" s="27"/>
      <c r="P97" s="27"/>
      <c r="Q97" s="27"/>
      <c r="R97" s="27"/>
      <c r="S97" s="27"/>
      <c r="T97" s="27"/>
      <c r="U97" s="30"/>
      <c r="V97" s="40"/>
      <c r="W97" s="5"/>
      <c r="X97" s="179"/>
      <c r="Y97" s="18"/>
      <c r="Z97" s="179"/>
      <c r="AA97" s="5"/>
      <c r="AB97" s="5"/>
      <c r="AC97" s="7"/>
      <c r="AD97" s="100"/>
      <c r="AE97" s="5"/>
      <c r="AF97" s="63"/>
      <c r="AG97" s="63"/>
      <c r="AH97" s="5"/>
      <c r="AI97" s="51"/>
    </row>
    <row r="98" spans="1:35" s="28" customFormat="1" ht="13.8" x14ac:dyDescent="0.3">
      <c r="E98" s="115"/>
      <c r="F98" s="85"/>
      <c r="G98" s="78"/>
      <c r="H98" s="104"/>
      <c r="I98" s="115"/>
      <c r="J98" s="82"/>
      <c r="K98" s="80"/>
      <c r="L98" s="30"/>
      <c r="M98" s="27"/>
      <c r="N98" s="27"/>
      <c r="O98" s="27"/>
      <c r="P98" s="27"/>
      <c r="Q98" s="27"/>
      <c r="R98" s="27"/>
      <c r="S98" s="27"/>
      <c r="T98" s="27"/>
      <c r="U98" s="30"/>
      <c r="V98" s="40"/>
      <c r="W98" s="5"/>
      <c r="X98" s="179"/>
      <c r="Y98" s="18"/>
      <c r="Z98" s="179"/>
      <c r="AA98" s="5"/>
      <c r="AB98" s="5"/>
      <c r="AC98" s="5"/>
      <c r="AD98" s="5"/>
      <c r="AE98" s="63"/>
      <c r="AF98" s="63"/>
      <c r="AG98" s="63"/>
      <c r="AH98" s="5"/>
      <c r="AI98" s="51"/>
    </row>
    <row r="99" spans="1:35" s="28" customFormat="1" ht="13.8" x14ac:dyDescent="0.3">
      <c r="A99" s="81"/>
      <c r="B99" s="78"/>
      <c r="E99" s="115"/>
      <c r="F99" s="81"/>
      <c r="G99" s="87"/>
      <c r="H99" s="115"/>
      <c r="I99" s="115"/>
      <c r="J99" s="115"/>
      <c r="K99" s="115"/>
      <c r="L99" s="30"/>
      <c r="M99" s="27"/>
      <c r="N99" s="27"/>
      <c r="O99" s="27"/>
      <c r="P99" s="27"/>
      <c r="Q99" s="27"/>
      <c r="R99" s="27"/>
      <c r="S99" s="27"/>
      <c r="T99" s="27"/>
      <c r="U99" s="30"/>
      <c r="V99" s="40"/>
      <c r="W99" s="5"/>
      <c r="X99" s="179"/>
      <c r="Y99" s="18"/>
      <c r="Z99" s="179"/>
      <c r="AA99" s="5"/>
      <c r="AB99" s="5"/>
      <c r="AC99" s="5"/>
      <c r="AD99" s="5"/>
      <c r="AE99" s="5"/>
      <c r="AF99" s="5"/>
      <c r="AG99" s="63"/>
      <c r="AH99" s="5"/>
      <c r="AI99" s="51"/>
    </row>
    <row r="100" spans="1:35" s="28" customFormat="1" ht="13.8" x14ac:dyDescent="0.3">
      <c r="A100" s="76"/>
      <c r="B100" s="128" t="s">
        <v>57</v>
      </c>
      <c r="C100" s="28" t="str">
        <f>[1]!xln(C101)</f>
        <v>(π² × 10) / (8² × 59.9) × (3000000 × 0.00127 - 7500 × 0.0204 + (π² / 8²) × (1E+07) × (3.12E-04))</v>
      </c>
      <c r="D100" s="85"/>
      <c r="E100" s="84"/>
      <c r="F100" s="115"/>
      <c r="G100" s="117"/>
      <c r="H100" s="82"/>
      <c r="I100" s="91"/>
      <c r="J100" s="115"/>
      <c r="K100" s="115"/>
      <c r="L100" s="30"/>
      <c r="M100" s="27"/>
      <c r="N100" s="27"/>
      <c r="O100" s="27"/>
      <c r="P100" s="27"/>
      <c r="Q100" s="27"/>
      <c r="R100" s="27"/>
      <c r="S100" s="27"/>
      <c r="T100" s="27"/>
      <c r="U100" s="30"/>
      <c r="V100" s="40"/>
      <c r="W100" s="5"/>
      <c r="AB100" s="5"/>
      <c r="AC100" s="5"/>
      <c r="AD100" s="5"/>
      <c r="AE100" s="5"/>
      <c r="AF100" s="5"/>
      <c r="AG100" s="63"/>
      <c r="AH100" s="5"/>
      <c r="AI100" s="5"/>
    </row>
    <row r="101" spans="1:35" s="28" customFormat="1" ht="13.8" x14ac:dyDescent="0.3">
      <c r="A101" s="76"/>
      <c r="B101" s="88"/>
      <c r="C101" s="197">
        <f>(PI()^2*C29)/(C35^2*C31)*(C43*C58-C41*C44+(PI()^2/C35^2)*C42*C96)</f>
        <v>106.7906680607225</v>
      </c>
      <c r="D101" s="115"/>
      <c r="E101" s="115"/>
      <c r="F101" s="115"/>
      <c r="G101" s="115"/>
      <c r="H101" s="115"/>
      <c r="I101" s="115"/>
      <c r="J101" s="115"/>
      <c r="K101" s="115"/>
      <c r="L101" s="30"/>
      <c r="M101" s="27"/>
      <c r="N101" s="27"/>
      <c r="O101" s="27"/>
      <c r="P101" s="27"/>
      <c r="Q101" s="27"/>
      <c r="R101" s="27"/>
      <c r="S101" s="27"/>
      <c r="T101" s="27"/>
      <c r="U101" s="30"/>
      <c r="V101" s="40"/>
      <c r="W101" s="5"/>
      <c r="AB101" s="5"/>
      <c r="AC101" s="5"/>
      <c r="AD101" s="5"/>
      <c r="AE101" s="5"/>
      <c r="AF101" s="5"/>
      <c r="AG101" s="63"/>
      <c r="AH101" s="51"/>
      <c r="AI101" s="5"/>
    </row>
    <row r="102" spans="1:35" s="28" customFormat="1" ht="13.8" x14ac:dyDescent="0.3">
      <c r="A102" s="76"/>
      <c r="B102" s="78"/>
      <c r="C102" s="92"/>
      <c r="D102" s="115"/>
      <c r="E102" s="115"/>
      <c r="F102" s="83"/>
      <c r="G102" s="115"/>
      <c r="H102" s="115"/>
      <c r="I102" s="83"/>
      <c r="J102" s="115"/>
      <c r="K102" s="115"/>
      <c r="L102" s="30"/>
      <c r="M102" s="27"/>
      <c r="N102" s="27"/>
      <c r="O102" s="27"/>
      <c r="P102" s="27"/>
      <c r="Q102" s="27"/>
      <c r="R102" s="27"/>
      <c r="S102" s="27"/>
      <c r="T102" s="27"/>
      <c r="U102" s="30"/>
      <c r="V102" s="40"/>
      <c r="W102" s="5"/>
      <c r="AB102" s="5"/>
      <c r="AC102" s="5"/>
      <c r="AD102" s="5"/>
      <c r="AE102" s="5"/>
      <c r="AF102" s="5"/>
      <c r="AG102" s="63"/>
      <c r="AH102" s="5"/>
      <c r="AI102" s="5"/>
    </row>
    <row r="103" spans="1:35" s="28" customFormat="1" ht="13.8" x14ac:dyDescent="0.3">
      <c r="A103" s="76"/>
      <c r="B103" s="78"/>
      <c r="C103" s="93"/>
      <c r="D103" s="115"/>
      <c r="E103" s="118"/>
      <c r="F103" s="83"/>
      <c r="G103" s="115"/>
      <c r="H103" s="115"/>
      <c r="I103" s="83"/>
      <c r="J103" s="115"/>
      <c r="K103" s="115"/>
      <c r="L103" s="30"/>
      <c r="M103" s="27"/>
      <c r="N103" s="27"/>
      <c r="O103" s="27"/>
      <c r="P103" s="27"/>
      <c r="Q103" s="27"/>
      <c r="R103" s="27"/>
      <c r="S103" s="27"/>
      <c r="T103" s="27"/>
      <c r="U103" s="30"/>
      <c r="V103" s="40"/>
      <c r="W103" s="5"/>
      <c r="AB103" s="5"/>
      <c r="AC103" s="5"/>
      <c r="AD103" s="5"/>
      <c r="AE103" s="5"/>
      <c r="AF103" s="5"/>
      <c r="AG103" s="63"/>
      <c r="AH103" s="5"/>
      <c r="AI103" s="5"/>
    </row>
    <row r="104" spans="1:35" s="28" customFormat="1" ht="13.8" x14ac:dyDescent="0.3">
      <c r="A104" s="76"/>
      <c r="B104" s="77"/>
      <c r="C104" s="77"/>
      <c r="D104" s="83"/>
      <c r="E104" s="118"/>
      <c r="F104" s="83"/>
      <c r="G104" s="115"/>
      <c r="H104" s="115"/>
      <c r="I104" s="83"/>
      <c r="J104" s="115"/>
      <c r="K104" s="115"/>
      <c r="L104" s="30"/>
      <c r="M104" s="27"/>
      <c r="N104" s="27"/>
      <c r="O104" s="27"/>
      <c r="P104" s="27"/>
      <c r="Q104" s="27"/>
      <c r="R104" s="27"/>
      <c r="S104" s="27"/>
      <c r="T104" s="27"/>
      <c r="U104" s="30"/>
      <c r="V104" s="40"/>
      <c r="W104" s="5"/>
      <c r="AB104" s="5"/>
      <c r="AC104" s="5"/>
      <c r="AD104" s="5"/>
      <c r="AE104" s="63"/>
      <c r="AF104" s="63"/>
      <c r="AG104" s="63"/>
      <c r="AH104" s="5"/>
      <c r="AI104" s="5"/>
    </row>
    <row r="105" spans="1:35" s="28" customFormat="1" ht="13.8" x14ac:dyDescent="0.3">
      <c r="A105" s="76"/>
      <c r="B105" s="94"/>
      <c r="C105" s="83"/>
      <c r="D105" s="83"/>
      <c r="E105" s="118"/>
      <c r="F105" s="83"/>
      <c r="G105" s="115"/>
      <c r="H105" s="115"/>
      <c r="I105" s="83"/>
      <c r="J105" s="115"/>
      <c r="K105" s="115"/>
      <c r="L105" s="30"/>
      <c r="M105" s="27"/>
      <c r="N105" s="27"/>
      <c r="O105" s="27"/>
      <c r="P105" s="27"/>
      <c r="Q105" s="27"/>
      <c r="R105" s="27"/>
      <c r="S105" s="27"/>
      <c r="T105" s="27"/>
      <c r="U105" s="30"/>
      <c r="V105" s="40"/>
      <c r="W105" s="5"/>
      <c r="X105" s="5"/>
      <c r="Y105" s="5"/>
      <c r="Z105" s="5"/>
      <c r="AA105" s="5"/>
      <c r="AB105" s="5"/>
      <c r="AC105" s="179"/>
      <c r="AD105" s="191"/>
      <c r="AE105" s="179"/>
      <c r="AF105" s="5"/>
      <c r="AG105" s="63"/>
      <c r="AH105" s="5"/>
      <c r="AI105" s="5"/>
    </row>
    <row r="106" spans="1:35" s="28" customFormat="1" ht="13.8" x14ac:dyDescent="0.3">
      <c r="A106" s="76"/>
      <c r="B106" s="83"/>
      <c r="C106" s="83"/>
      <c r="D106" s="118"/>
      <c r="E106" s="83"/>
      <c r="F106" s="115"/>
      <c r="G106" s="115"/>
      <c r="H106" s="83"/>
      <c r="I106" s="115"/>
      <c r="J106" s="115"/>
      <c r="K106" s="115"/>
      <c r="L106" s="30"/>
      <c r="M106" s="27"/>
      <c r="N106" s="27"/>
      <c r="O106" s="27"/>
      <c r="P106" s="27"/>
      <c r="Q106" s="27"/>
      <c r="R106" s="27"/>
      <c r="S106" s="27"/>
      <c r="T106" s="27"/>
      <c r="U106" s="30"/>
      <c r="V106" s="40"/>
      <c r="W106" s="5"/>
      <c r="X106" s="7"/>
      <c r="Y106" s="179"/>
      <c r="Z106" s="179"/>
      <c r="AA106" s="5"/>
      <c r="AB106" s="5"/>
      <c r="AC106" s="179"/>
      <c r="AD106" s="191"/>
      <c r="AE106" s="179"/>
      <c r="AF106" s="5"/>
      <c r="AG106" s="63"/>
      <c r="AH106" s="5"/>
      <c r="AI106" s="5"/>
    </row>
    <row r="107" spans="1:35" s="28" customFormat="1" ht="13.8" x14ac:dyDescent="0.3">
      <c r="A107" s="5"/>
      <c r="B107" s="5"/>
      <c r="C107" s="46"/>
      <c r="D107" s="46"/>
      <c r="E107" s="46"/>
      <c r="F107" s="46"/>
      <c r="G107" s="5"/>
      <c r="H107" s="46"/>
      <c r="I107" s="46"/>
      <c r="J107" s="5"/>
      <c r="K107" s="5"/>
      <c r="L107" s="30"/>
      <c r="M107" s="27"/>
      <c r="N107" s="27"/>
      <c r="O107" s="27"/>
      <c r="P107" s="27"/>
      <c r="Q107" s="27"/>
      <c r="R107" s="27"/>
      <c r="S107" s="27"/>
      <c r="T107" s="27"/>
      <c r="U107" s="30"/>
      <c r="V107" s="40"/>
      <c r="W107" s="5"/>
      <c r="X107" s="7"/>
      <c r="Y107" s="5"/>
      <c r="Z107" s="179"/>
      <c r="AA107" s="5"/>
      <c r="AB107" s="5"/>
      <c r="AC107" s="7"/>
      <c r="AD107" s="179"/>
      <c r="AE107" s="179"/>
      <c r="AF107" s="5"/>
      <c r="AG107" s="63"/>
      <c r="AH107" s="5"/>
      <c r="AI107" s="5"/>
    </row>
    <row r="108" spans="1:35" s="28" customFormat="1" ht="13.8" x14ac:dyDescent="0.3">
      <c r="A108" s="5"/>
      <c r="B108" s="46"/>
      <c r="C108" s="53"/>
      <c r="D108" s="43"/>
      <c r="E108" s="49"/>
      <c r="F108" s="40"/>
      <c r="G108" s="5"/>
      <c r="H108" s="49"/>
      <c r="I108" s="40"/>
      <c r="J108" s="47"/>
      <c r="K108" s="47"/>
      <c r="L108" s="30"/>
      <c r="M108" s="27"/>
      <c r="N108" s="27"/>
      <c r="O108" s="27"/>
      <c r="P108" s="27"/>
      <c r="Q108" s="27"/>
      <c r="R108" s="27"/>
      <c r="S108" s="27"/>
      <c r="T108" s="27"/>
      <c r="U108" s="30"/>
      <c r="V108" s="40"/>
      <c r="W108" s="5"/>
      <c r="X108" s="7"/>
      <c r="Y108" s="192"/>
      <c r="Z108" s="193"/>
      <c r="AA108" s="5"/>
      <c r="AB108" s="5"/>
      <c r="AC108" s="7"/>
      <c r="AD108" s="5"/>
      <c r="AE108" s="179"/>
      <c r="AF108" s="5"/>
      <c r="AG108" s="63"/>
    </row>
    <row r="109" spans="1:35" s="28" customFormat="1" ht="13.8" x14ac:dyDescent="0.3">
      <c r="A109" s="5"/>
      <c r="B109" s="46"/>
      <c r="C109" s="53"/>
      <c r="D109" s="43"/>
      <c r="E109" s="49"/>
      <c r="F109" s="40"/>
      <c r="G109" s="5"/>
      <c r="H109" s="49"/>
      <c r="I109" s="40"/>
      <c r="J109" s="47"/>
      <c r="K109" s="47"/>
      <c r="L109" s="30"/>
      <c r="M109" s="27"/>
      <c r="N109" s="27"/>
      <c r="O109" s="27"/>
      <c r="P109" s="27"/>
      <c r="Q109" s="27"/>
      <c r="R109" s="27"/>
      <c r="S109" s="27"/>
      <c r="T109" s="27"/>
      <c r="U109" s="30"/>
      <c r="V109" s="40"/>
      <c r="W109" s="5"/>
      <c r="X109" s="5"/>
      <c r="Y109" s="5"/>
      <c r="Z109" s="5"/>
      <c r="AA109" s="5"/>
      <c r="AB109" s="5"/>
      <c r="AC109" s="7"/>
      <c r="AD109" s="194"/>
      <c r="AE109" s="5"/>
      <c r="AF109" s="5"/>
      <c r="AG109" s="63"/>
    </row>
    <row r="110" spans="1:35" s="28" customFormat="1" ht="13.8" x14ac:dyDescent="0.3">
      <c r="A110" s="5"/>
      <c r="B110" s="46"/>
      <c r="C110" s="53"/>
      <c r="D110" s="43"/>
      <c r="E110" s="49"/>
      <c r="F110" s="40"/>
      <c r="G110" s="5"/>
      <c r="H110" s="49"/>
      <c r="I110" s="40"/>
      <c r="J110" s="47"/>
      <c r="K110" s="47"/>
      <c r="L110" s="30"/>
      <c r="M110" s="27"/>
      <c r="N110" s="27"/>
      <c r="O110" s="27"/>
      <c r="P110" s="27"/>
      <c r="Q110" s="27"/>
      <c r="R110" s="27"/>
      <c r="S110" s="27"/>
      <c r="T110" s="27"/>
      <c r="U110" s="30"/>
      <c r="V110" s="54"/>
      <c r="W110" s="5"/>
      <c r="X110" s="179"/>
      <c r="Y110" s="18"/>
      <c r="Z110" s="179"/>
      <c r="AA110" s="5"/>
      <c r="AB110" s="5"/>
      <c r="AC110" s="5"/>
      <c r="AD110" s="194"/>
      <c r="AE110" s="5"/>
      <c r="AF110" s="5"/>
      <c r="AG110" s="5"/>
    </row>
    <row r="111" spans="1:35" s="28" customFormat="1" ht="13.8" x14ac:dyDescent="0.3">
      <c r="A111" s="5"/>
      <c r="B111" s="46"/>
      <c r="C111" s="53"/>
      <c r="D111" s="43"/>
      <c r="E111" s="49"/>
      <c r="F111" s="40"/>
      <c r="G111" s="5"/>
      <c r="H111" s="49"/>
      <c r="I111" s="40"/>
      <c r="J111" s="47"/>
      <c r="K111" s="47"/>
      <c r="L111" s="30"/>
      <c r="M111" s="27"/>
      <c r="N111" s="27"/>
      <c r="O111" s="27"/>
      <c r="P111" s="27"/>
      <c r="Q111" s="27"/>
      <c r="R111" s="27"/>
      <c r="S111" s="27"/>
      <c r="T111" s="27"/>
      <c r="U111" s="30"/>
      <c r="V111" s="5"/>
      <c r="W111" s="5"/>
      <c r="X111" s="7"/>
      <c r="Y111" s="179"/>
      <c r="Z111" s="179"/>
      <c r="AA111" s="5"/>
      <c r="AB111" s="5"/>
      <c r="AC111" s="195"/>
      <c r="AD111" s="196"/>
      <c r="AE111" s="179"/>
      <c r="AF111" s="5"/>
      <c r="AG111" s="63"/>
    </row>
    <row r="112" spans="1:35" s="28" customFormat="1" ht="13.8" x14ac:dyDescent="0.3">
      <c r="A112" s="56"/>
      <c r="B112" s="57"/>
      <c r="C112" s="58"/>
      <c r="D112" s="56"/>
      <c r="E112" s="56"/>
      <c r="F112" s="56"/>
      <c r="G112" s="58"/>
      <c r="H112" s="56"/>
      <c r="I112" s="56"/>
      <c r="J112" s="56"/>
      <c r="K112" s="56"/>
      <c r="L112" s="30"/>
      <c r="M112" s="27"/>
      <c r="N112" s="27"/>
      <c r="O112" s="27"/>
      <c r="P112" s="27"/>
      <c r="Q112" s="27"/>
      <c r="R112" s="27"/>
      <c r="S112" s="27"/>
      <c r="T112" s="27"/>
      <c r="U112" s="30"/>
      <c r="V112" s="30"/>
      <c r="W112" s="5"/>
      <c r="X112" s="7"/>
      <c r="Y112" s="5"/>
      <c r="Z112" s="179"/>
      <c r="AA112" s="5"/>
      <c r="AB112" s="5"/>
      <c r="AC112" s="7"/>
      <c r="AD112" s="179"/>
      <c r="AE112" s="179"/>
      <c r="AF112" s="5"/>
      <c r="AG112" s="63"/>
    </row>
    <row r="113" spans="1:33" s="28" customFormat="1" ht="13.8" x14ac:dyDescent="0.3">
      <c r="A113" s="56"/>
      <c r="B113" s="59"/>
      <c r="C113" s="58"/>
      <c r="D113" s="60"/>
      <c r="E113" s="60"/>
      <c r="F113" s="61" t="s">
        <v>33</v>
      </c>
      <c r="G113" s="58"/>
      <c r="H113" s="60"/>
      <c r="I113" s="60"/>
      <c r="J113" s="60"/>
      <c r="K113" s="56"/>
      <c r="L113" s="30"/>
      <c r="M113" s="27"/>
      <c r="N113" s="27"/>
      <c r="O113" s="27"/>
      <c r="P113" s="27"/>
      <c r="Q113" s="27"/>
      <c r="R113" s="27"/>
      <c r="S113" s="27"/>
      <c r="T113" s="27"/>
      <c r="U113" s="30"/>
      <c r="V113" s="30"/>
      <c r="W113" s="5"/>
      <c r="X113" s="7"/>
      <c r="Y113" s="194"/>
      <c r="Z113" s="5"/>
      <c r="AA113" s="5"/>
      <c r="AB113" s="5"/>
      <c r="AC113" s="7"/>
      <c r="AD113" s="5"/>
      <c r="AE113" s="5"/>
      <c r="AF113" s="5"/>
      <c r="AG113" s="63"/>
    </row>
    <row r="114" spans="1:33" s="28" customFormat="1" ht="13.8" x14ac:dyDescent="0.3">
      <c r="A114" s="56"/>
      <c r="B114" s="60"/>
      <c r="C114" s="60"/>
      <c r="D114" s="60"/>
      <c r="E114" s="60"/>
      <c r="F114" s="97" t="s">
        <v>46</v>
      </c>
      <c r="G114" s="60"/>
      <c r="H114" s="60"/>
      <c r="I114" s="60"/>
      <c r="J114" s="60"/>
      <c r="K114" s="56"/>
      <c r="L114" s="30"/>
      <c r="M114" s="27"/>
      <c r="N114" s="27"/>
      <c r="O114" s="27"/>
      <c r="P114" s="27"/>
      <c r="Q114" s="27"/>
      <c r="R114" s="27"/>
      <c r="S114" s="27"/>
      <c r="T114" s="27"/>
      <c r="U114" s="30"/>
      <c r="V114" s="30"/>
      <c r="W114" s="5"/>
      <c r="X114" s="179"/>
      <c r="Y114" s="18"/>
      <c r="Z114" s="179"/>
      <c r="AA114" s="5"/>
      <c r="AB114" s="5"/>
      <c r="AC114" s="7"/>
      <c r="AD114" s="196"/>
      <c r="AE114" s="5"/>
      <c r="AF114" s="5"/>
      <c r="AG114" s="63"/>
    </row>
    <row r="115" spans="1:33" s="26" customFormat="1" ht="13.8" x14ac:dyDescent="0.3">
      <c r="M115" s="27"/>
      <c r="N115" s="27"/>
      <c r="O115" s="27"/>
      <c r="P115" s="27"/>
      <c r="Q115" s="27"/>
      <c r="R115" s="27"/>
      <c r="S115" s="27"/>
      <c r="T115" s="27"/>
      <c r="W115" s="5"/>
      <c r="X115" s="5"/>
      <c r="Y115" s="5"/>
      <c r="Z115" s="5"/>
      <c r="AA115" s="5"/>
      <c r="AB115" s="5"/>
      <c r="AC115" s="5"/>
      <c r="AD115" s="5"/>
      <c r="AE115" s="5"/>
      <c r="AF115" s="5"/>
      <c r="AG115" s="63"/>
    </row>
    <row r="116" spans="1:33" s="26" customFormat="1" ht="13.8" x14ac:dyDescent="0.3">
      <c r="M116" s="27"/>
      <c r="N116" s="27"/>
      <c r="O116" s="27"/>
      <c r="P116" s="27"/>
      <c r="Q116" s="27"/>
      <c r="R116" s="27"/>
      <c r="S116" s="27"/>
      <c r="T116" s="27"/>
      <c r="W116" s="5"/>
      <c r="X116" s="5"/>
      <c r="Y116" s="5"/>
      <c r="Z116" s="5"/>
      <c r="AA116" s="5"/>
      <c r="AB116" s="5"/>
      <c r="AC116" s="5"/>
      <c r="AD116" s="5"/>
      <c r="AE116" s="5"/>
      <c r="AF116" s="5"/>
      <c r="AG116" s="63"/>
    </row>
    <row r="117" spans="1:33" s="26" customFormat="1" ht="13.8" x14ac:dyDescent="0.3">
      <c r="M117" s="27"/>
      <c r="N117" s="27"/>
      <c r="O117" s="27"/>
      <c r="P117" s="27"/>
      <c r="Q117" s="27"/>
      <c r="R117" s="27"/>
      <c r="S117" s="27"/>
      <c r="T117" s="27"/>
    </row>
    <row r="118" spans="1:33" s="26" customFormat="1" ht="13.8" x14ac:dyDescent="0.3">
      <c r="M118" s="27"/>
      <c r="N118" s="27"/>
      <c r="O118" s="27"/>
      <c r="P118" s="27"/>
      <c r="Q118" s="27"/>
      <c r="R118" s="27"/>
      <c r="S118" s="27"/>
      <c r="T118" s="27"/>
    </row>
    <row r="119" spans="1:33" s="26" customFormat="1" ht="13.8" x14ac:dyDescent="0.3">
      <c r="M119" s="27"/>
      <c r="N119" s="27"/>
      <c r="O119" s="27"/>
      <c r="P119" s="27"/>
      <c r="Q119" s="27"/>
      <c r="R119" s="27"/>
      <c r="S119" s="27"/>
      <c r="T119" s="27"/>
    </row>
    <row r="120" spans="1:33" s="26" customFormat="1" ht="13.8" x14ac:dyDescent="0.3">
      <c r="M120" s="27"/>
      <c r="N120" s="27"/>
      <c r="O120" s="27"/>
      <c r="P120" s="27"/>
      <c r="Q120" s="27"/>
      <c r="R120" s="27"/>
      <c r="S120" s="27"/>
      <c r="T120" s="27"/>
    </row>
    <row r="121" spans="1:33" s="26" customFormat="1" ht="13.8" x14ac:dyDescent="0.3">
      <c r="M121" s="27"/>
      <c r="N121" s="27"/>
      <c r="O121" s="27"/>
      <c r="P121" s="27"/>
      <c r="Q121" s="27"/>
      <c r="R121" s="27"/>
      <c r="S121" s="27"/>
      <c r="T121" s="27"/>
    </row>
    <row r="122" spans="1:33" s="26" customFormat="1" ht="13.8" x14ac:dyDescent="0.3">
      <c r="M122" s="27"/>
      <c r="N122" s="27"/>
      <c r="O122" s="27"/>
      <c r="P122" s="27"/>
      <c r="Q122" s="27"/>
      <c r="R122" s="27"/>
      <c r="S122" s="27"/>
      <c r="T122" s="27"/>
    </row>
    <row r="123" spans="1:33" s="26" customFormat="1" ht="13.8" x14ac:dyDescent="0.3">
      <c r="M123" s="27"/>
      <c r="N123" s="27"/>
      <c r="O123" s="27"/>
      <c r="P123" s="27"/>
      <c r="Q123" s="27"/>
      <c r="R123" s="27"/>
      <c r="S123" s="27"/>
      <c r="T123" s="27"/>
    </row>
    <row r="124" spans="1:33" s="26" customFormat="1" ht="13.8" x14ac:dyDescent="0.3">
      <c r="M124" s="27"/>
      <c r="N124" s="27"/>
      <c r="O124" s="27"/>
      <c r="P124" s="27"/>
      <c r="Q124" s="27"/>
      <c r="R124" s="27"/>
      <c r="S124" s="27"/>
      <c r="T124" s="27"/>
    </row>
    <row r="125" spans="1:33" s="26" customFormat="1" ht="13.8" x14ac:dyDescent="0.3">
      <c r="M125" s="27"/>
      <c r="N125" s="27"/>
      <c r="O125" s="27"/>
      <c r="P125" s="27"/>
      <c r="Q125" s="27"/>
      <c r="R125" s="27"/>
      <c r="S125" s="27"/>
      <c r="T125" s="27"/>
    </row>
    <row r="126" spans="1:33" s="26" customFormat="1" ht="13.8" x14ac:dyDescent="0.3">
      <c r="M126" s="27"/>
      <c r="N126" s="27"/>
      <c r="O126" s="27"/>
      <c r="P126" s="27"/>
      <c r="Q126" s="27"/>
      <c r="R126" s="27"/>
      <c r="S126" s="27"/>
      <c r="T126" s="27"/>
    </row>
    <row r="127" spans="1:33" s="26" customFormat="1" ht="13.8" x14ac:dyDescent="0.3">
      <c r="M127" s="27"/>
      <c r="N127" s="27"/>
      <c r="O127" s="27"/>
      <c r="P127" s="27"/>
      <c r="Q127" s="27"/>
      <c r="R127" s="27"/>
      <c r="S127" s="27"/>
      <c r="T127" s="27"/>
    </row>
    <row r="128" spans="1:33"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row r="7758" spans="13:20" s="26" customFormat="1" ht="13.8" x14ac:dyDescent="0.3">
      <c r="M7758" s="27"/>
      <c r="N7758" s="27"/>
      <c r="O7758" s="27"/>
      <c r="P7758" s="27"/>
      <c r="Q7758" s="27"/>
      <c r="R7758" s="27"/>
      <c r="S7758" s="27"/>
      <c r="T7758" s="27"/>
    </row>
    <row r="7759" spans="13:20" s="26" customFormat="1" ht="13.8" x14ac:dyDescent="0.3">
      <c r="M7759" s="27"/>
      <c r="N7759" s="27"/>
      <c r="O7759" s="27"/>
      <c r="P7759" s="27"/>
      <c r="Q7759" s="27"/>
      <c r="R7759" s="27"/>
      <c r="S7759" s="27"/>
      <c r="T7759" s="27"/>
    </row>
    <row r="7760" spans="13:20" s="26" customFormat="1" ht="13.8" x14ac:dyDescent="0.3">
      <c r="M7760" s="27"/>
      <c r="N7760" s="27"/>
      <c r="O7760" s="27"/>
      <c r="P7760" s="27"/>
      <c r="Q7760" s="27"/>
      <c r="R7760" s="27"/>
      <c r="S7760" s="27"/>
      <c r="T7760" s="27"/>
    </row>
  </sheetData>
  <mergeCells count="7">
    <mergeCell ref="C82:J83"/>
    <mergeCell ref="C38:D38"/>
    <mergeCell ref="B13:K13"/>
    <mergeCell ref="B14:D14"/>
    <mergeCell ref="B68:D68"/>
    <mergeCell ref="B15:D15"/>
    <mergeCell ref="C39:J40"/>
  </mergeCells>
  <dataValidations count="2">
    <dataValidation type="list" allowBlank="1" showInputMessage="1" showErrorMessage="1" sqref="C16">
      <formula1>"2014,2024,7075"</formula1>
    </dataValidation>
    <dataValidation type="list" allowBlank="1" showInputMessage="1" showErrorMessage="1" sqref="C38:D38">
      <formula1>"I-Beam,C-Beam,Z-Beam"</formula1>
    </dataValidation>
  </dataValidations>
  <hyperlinks>
    <hyperlink ref="F62" r:id="rId1"/>
    <hyperlink ref="B14:C14" r:id="rId2" display="(NACA-REPORT-735, 1942)"/>
    <hyperlink ref="F114" r:id="rId3"/>
    <hyperlink ref="B68:C68" r:id="rId4" display="(NACA-REPORT-735, 1942)"/>
    <hyperlink ref="B15:C15" r:id="rId5" display="(NACA-REPORT-735, 1942)"/>
    <hyperlink ref="B15:D15" r:id="rId6" display="(NACA-TN-888, 1943)"/>
    <hyperlink ref="B13:K13" r:id="rId7"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horizontalDpi="300" r:id="rId8"/>
  <headerFooter alignWithMargins="0">
    <oddFooter>&amp;C&amp;"Arial,Bold"ABBOTT AEROSPACE INC. PROPRIETARY INFORMATION&amp;"Arial,Regular"
Subject to restrictions on the cover or first page</oddFooter>
  </headerFooter>
  <rowBreaks count="1" manualBreakCount="1">
    <brk id="62" max="10"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2016-08-31T12:10:14Z</dcterms:modified>
  <cp:category>Engineering Spreadsheets</cp:category>
</cp:coreProperties>
</file>