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AK41" i="23" l="1"/>
  <c r="AJ41" i="23"/>
  <c r="AK40" i="23"/>
  <c r="AJ40" i="23"/>
  <c r="C12" i="27" l="1"/>
  <c r="AN44" i="23" l="1"/>
  <c r="AN43" i="23"/>
  <c r="AC19" i="23"/>
  <c r="J23" i="23" l="1"/>
  <c r="AM34" i="23"/>
  <c r="AM41" i="23" s="1"/>
  <c r="B23" i="23"/>
  <c r="AJ20" i="23"/>
  <c r="Y52" i="23" s="1"/>
  <c r="Y53" i="23" s="1"/>
  <c r="Y54" i="23" s="1"/>
  <c r="Y55" i="23" s="1"/>
  <c r="Y56" i="23" s="1"/>
  <c r="Y57" i="23" s="1"/>
  <c r="AJ21" i="23"/>
  <c r="Y28" i="23" s="1"/>
  <c r="AC28" i="23" s="1"/>
  <c r="J22" i="23"/>
  <c r="B22" i="23"/>
  <c r="F23" i="23" l="1"/>
  <c r="AM29" i="23" s="1"/>
  <c r="AM33" i="23" s="1"/>
  <c r="AM40" i="23" s="1"/>
  <c r="AD28" i="23"/>
  <c r="AD19" i="23"/>
  <c r="AE19" i="23"/>
  <c r="D18" i="23"/>
  <c r="B12" i="23"/>
  <c r="F11" i="23"/>
  <c r="F10" i="23"/>
  <c r="J9" i="23"/>
  <c r="F9" i="23"/>
  <c r="J8" i="23"/>
  <c r="F8" i="23"/>
  <c r="F22" i="23"/>
  <c r="AM28" i="23" l="1"/>
  <c r="AM32" i="23" s="1"/>
  <c r="A55" i="23"/>
  <c r="D55" i="23"/>
  <c r="B55" i="23"/>
  <c r="A54" i="23"/>
  <c r="D54" i="23"/>
  <c r="E55" i="23" l="1"/>
  <c r="AA19" i="23"/>
  <c r="L10" i="23" l="1"/>
  <c r="J10" i="23" s="1"/>
  <c r="AJ19" i="23" l="1"/>
  <c r="D16" i="23"/>
  <c r="D17" i="23"/>
  <c r="AC53" i="23" l="1"/>
  <c r="AD53" i="23" s="1"/>
  <c r="AE28" i="23"/>
  <c r="AF28" i="23"/>
  <c r="Y20" i="23"/>
  <c r="AC20" i="23" l="1"/>
  <c r="AD20" i="23" s="1"/>
  <c r="AE52" i="23"/>
  <c r="AF52" i="23"/>
  <c r="AJ22" i="23"/>
  <c r="Y29" i="23" s="1"/>
  <c r="AC29" i="23" s="1"/>
  <c r="AD29" i="23" s="1"/>
  <c r="AC52" i="23"/>
  <c r="AD52" i="23" s="1"/>
  <c r="AB52" i="23" s="1"/>
  <c r="Z52" i="23" s="1"/>
  <c r="AA52" i="23" s="1"/>
  <c r="AE20" i="23"/>
  <c r="AB28" i="23"/>
  <c r="Z28" i="23" s="1"/>
  <c r="AA28" i="23" s="1"/>
  <c r="AF53" i="23"/>
  <c r="AE53" i="23"/>
  <c r="Y21" i="23"/>
  <c r="AC54" i="23"/>
  <c r="AD54" i="23" s="1"/>
  <c r="Y30" i="23" l="1"/>
  <c r="AC30" i="23" s="1"/>
  <c r="AD30" i="23" s="1"/>
  <c r="AF29" i="23"/>
  <c r="AE29" i="23"/>
  <c r="AC21" i="23"/>
  <c r="AD21" i="23" s="1"/>
  <c r="AE21" i="23"/>
  <c r="AB20" i="23"/>
  <c r="Z20" i="23" s="1"/>
  <c r="AA20" i="23" s="1"/>
  <c r="AB53" i="23"/>
  <c r="Z53" i="23" s="1"/>
  <c r="AA53" i="23" s="1"/>
  <c r="AB29" i="23"/>
  <c r="Z29" i="23" s="1"/>
  <c r="AA29" i="23" s="1"/>
  <c r="AF54" i="23"/>
  <c r="AE54" i="23"/>
  <c r="Y22" i="23"/>
  <c r="AC55" i="23"/>
  <c r="AD55" i="23" s="1"/>
  <c r="AE30" i="23" l="1"/>
  <c r="Y31" i="23"/>
  <c r="AC31" i="23" s="1"/>
  <c r="AD31" i="23" s="1"/>
  <c r="AF30" i="23"/>
  <c r="AC22" i="23"/>
  <c r="AD22" i="23" s="1"/>
  <c r="AE22" i="23"/>
  <c r="AB21" i="23"/>
  <c r="Z21" i="23" s="1"/>
  <c r="AA21" i="23" s="1"/>
  <c r="AB30" i="23"/>
  <c r="Z30" i="23" s="1"/>
  <c r="AA30" i="23" s="1"/>
  <c r="AB54" i="23"/>
  <c r="Z54" i="23" s="1"/>
  <c r="AA54" i="23" s="1"/>
  <c r="AF55" i="23"/>
  <c r="AE55" i="23"/>
  <c r="Y23" i="23"/>
  <c r="AC56" i="23"/>
  <c r="AD56" i="23" s="1"/>
  <c r="Y32" i="23" l="1"/>
  <c r="AC32" i="23" s="1"/>
  <c r="AD32" i="23" s="1"/>
  <c r="AE31" i="23"/>
  <c r="AF31" i="23"/>
  <c r="AC23" i="23"/>
  <c r="AD23" i="23" s="1"/>
  <c r="AE23" i="23"/>
  <c r="AB22" i="23"/>
  <c r="Z22" i="23" s="1"/>
  <c r="AA22" i="23" s="1"/>
  <c r="AE56" i="23"/>
  <c r="AF56" i="23"/>
  <c r="AB31" i="23"/>
  <c r="Z31" i="23" s="1"/>
  <c r="AA31" i="23" s="1"/>
  <c r="AB55" i="23"/>
  <c r="Z55" i="23" s="1"/>
  <c r="AA55" i="23" s="1"/>
  <c r="AC57" i="23"/>
  <c r="AD57" i="23" s="1"/>
  <c r="Y24" i="23"/>
  <c r="Y33" i="23" l="1"/>
  <c r="AC33" i="23" s="1"/>
  <c r="AD33" i="23" s="1"/>
  <c r="AF32" i="23"/>
  <c r="AE32" i="23"/>
  <c r="AE24" i="23"/>
  <c r="AC24" i="23"/>
  <c r="AD24" i="23" s="1"/>
  <c r="AB23" i="23"/>
  <c r="Z23" i="23" s="1"/>
  <c r="AA23" i="23" s="1"/>
  <c r="AB32" i="23"/>
  <c r="Z32" i="23" s="1"/>
  <c r="AA32" i="23" s="1"/>
  <c r="AF57" i="23"/>
  <c r="AE57" i="23"/>
  <c r="AB56" i="23"/>
  <c r="Z56" i="23" s="1"/>
  <c r="AA56" i="23" s="1"/>
  <c r="Y25" i="23"/>
  <c r="AE33" i="23" l="1"/>
  <c r="AF33" i="23"/>
  <c r="Y34" i="23"/>
  <c r="AC34" i="23" s="1"/>
  <c r="AD34" i="23" s="1"/>
  <c r="AC25" i="23"/>
  <c r="AD25" i="23" s="1"/>
  <c r="AE25" i="23"/>
  <c r="AB24" i="23"/>
  <c r="Z24" i="23" s="1"/>
  <c r="AA24" i="23" s="1"/>
  <c r="AB33" i="23"/>
  <c r="Z33" i="23" s="1"/>
  <c r="AA33" i="23" s="1"/>
  <c r="AF34" i="23"/>
  <c r="AB57" i="23"/>
  <c r="Z57" i="23" s="1"/>
  <c r="AA57" i="23" s="1"/>
  <c r="Y26" i="23"/>
  <c r="Y35" i="23"/>
  <c r="AC35" i="23" s="1"/>
  <c r="AD35" i="23" s="1"/>
  <c r="AE34" i="23" l="1"/>
  <c r="AC26" i="23"/>
  <c r="AD26" i="23" s="1"/>
  <c r="AE26" i="23"/>
  <c r="AB25" i="23"/>
  <c r="Z25" i="23" s="1"/>
  <c r="AA25" i="23" s="1"/>
  <c r="AB34" i="23"/>
  <c r="Z34" i="23" s="1"/>
  <c r="AA34" i="23" s="1"/>
  <c r="AF35" i="23"/>
  <c r="AE35" i="23"/>
  <c r="Y27" i="23"/>
  <c r="Y36" i="23"/>
  <c r="AC36" i="23" s="1"/>
  <c r="AD36" i="23" s="1"/>
  <c r="AC27" i="23" l="1"/>
  <c r="AD27" i="23" s="1"/>
  <c r="AE27" i="23"/>
  <c r="AB26" i="23"/>
  <c r="Z26" i="23" s="1"/>
  <c r="AA26" i="23" s="1"/>
  <c r="AE36" i="23"/>
  <c r="AF36" i="23"/>
  <c r="AB35" i="23"/>
  <c r="Z35" i="23" s="1"/>
  <c r="AA35" i="23" s="1"/>
  <c r="Y37" i="23"/>
  <c r="AC37" i="23" s="1"/>
  <c r="AD37" i="23" s="1"/>
  <c r="AB27" i="23" l="1"/>
  <c r="Z27" i="23" s="1"/>
  <c r="AA27" i="23" s="1"/>
  <c r="AB36" i="23"/>
  <c r="Z36" i="23" s="1"/>
  <c r="AA36" i="23" s="1"/>
  <c r="AF37" i="23"/>
  <c r="AE37" i="23"/>
  <c r="Y38" i="23"/>
  <c r="AC38" i="23" s="1"/>
  <c r="AD38" i="23" s="1"/>
  <c r="AB37" i="23" l="1"/>
  <c r="Z37" i="23" s="1"/>
  <c r="AA37" i="23" s="1"/>
  <c r="AF38" i="23"/>
  <c r="AE38" i="23"/>
  <c r="Y39" i="23"/>
  <c r="AC39" i="23" s="1"/>
  <c r="AD39" i="23" s="1"/>
  <c r="AB38" i="23" l="1"/>
  <c r="Z38" i="23" s="1"/>
  <c r="AF39" i="23"/>
  <c r="AE39" i="23"/>
  <c r="Y40" i="23"/>
  <c r="AC40" i="23" s="1"/>
  <c r="AD40" i="23" s="1"/>
  <c r="AA38" i="23" l="1"/>
  <c r="AB39" i="23"/>
  <c r="Z39" i="23" s="1"/>
  <c r="AA39" i="23" s="1"/>
  <c r="AE40" i="23"/>
  <c r="AF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F43" i="23"/>
  <c r="AE43" i="23"/>
  <c r="Y44" i="23"/>
  <c r="AC44" i="23" s="1"/>
  <c r="AD44" i="23" s="1"/>
  <c r="AB43" i="23" l="1"/>
  <c r="Z43" i="23" s="1"/>
  <c r="AA43" i="23" s="1"/>
  <c r="AE44" i="23"/>
  <c r="AF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F47" i="23"/>
  <c r="AE47" i="23"/>
  <c r="Y48" i="23"/>
  <c r="AC48" i="23" s="1"/>
  <c r="AD48" i="23" s="1"/>
  <c r="AB47" i="23" l="1"/>
  <c r="Z47" i="23" s="1"/>
  <c r="AA47" i="23" s="1"/>
  <c r="AE48" i="23"/>
  <c r="AF48" i="23"/>
  <c r="Y49" i="23"/>
  <c r="AC49" i="23" s="1"/>
  <c r="AD49" i="23" s="1"/>
  <c r="AB48" i="23" l="1"/>
  <c r="Z48" i="23" s="1"/>
  <c r="AF49" i="23"/>
  <c r="AE49" i="23"/>
  <c r="Y50" i="23"/>
  <c r="AC50" i="23" s="1"/>
  <c r="AD50" i="23" s="1"/>
  <c r="AA48" i="23" l="1"/>
  <c r="AI40" i="23"/>
  <c r="AB49" i="23"/>
  <c r="Z49" i="23" s="1"/>
  <c r="AA49" i="23" s="1"/>
  <c r="AF50" i="23"/>
  <c r="AE50" i="23"/>
  <c r="Y51" i="23"/>
  <c r="AC51" i="23" s="1"/>
  <c r="AD51" i="23" s="1"/>
  <c r="AI41" i="23" l="1"/>
  <c r="AB50" i="23"/>
  <c r="Z50" i="23" s="1"/>
  <c r="AA50" i="23" s="1"/>
  <c r="AF51" i="23"/>
  <c r="AE51" i="23"/>
  <c r="AB51" i="23" l="1"/>
  <c r="Z51" i="23" s="1"/>
  <c r="AA51" i="23" s="1"/>
  <c r="AN40" i="23" l="1"/>
  <c r="H54" i="23" l="1"/>
  <c r="AN34" i="23"/>
  <c r="AN33" i="23"/>
  <c r="AN41" i="23"/>
  <c r="AN29" i="23"/>
  <c r="AN30" i="23"/>
  <c r="H55" i="23" l="1"/>
  <c r="K57" i="23" s="1"/>
  <c r="I54" i="23"/>
  <c r="J57" i="23"/>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<sst xmlns="http://schemas.openxmlformats.org/spreadsheetml/2006/main" count="115" uniqueCount="90">
  <si>
    <t>Date:</t>
  </si>
  <si>
    <t>Compression</t>
  </si>
  <si>
    <t xml:space="preserve"> </t>
  </si>
  <si>
    <t>R. Abbott</t>
  </si>
  <si>
    <t>Revision:</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</si>
  <si>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</si>
  <si>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</si>
  <si>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</si>
  <si>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</si>
  <si>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</si>
  <si>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</si>
  <si>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</si>
  <si>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</si>
  <si>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</si>
  <si>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</si>
  <si>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</si>
  <si>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</si>
  <si>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</si>
  <si>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</si>
  <si>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</si>
  <si>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</si>
  <si>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</si>
  <si>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</si>
  <si>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</si>
  <si>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</si>
  <si>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</si>
  <si>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</si>
  <si>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</si>
  <si>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</si>
  <si>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</si>
  <si>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</si>
  <si>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</si>
  <si>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</si>
  <si>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</si>
  <si>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</si>
  <si>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</si>
  <si>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</si>
  <si>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</si>
  <si>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</si>
  <si>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</si>
  <si>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</si>
  <si>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</si>
  <si>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</si>
  <si>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</si>
  <si>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</si>
  <si>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</si>
  <si>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</si>
  <si>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</si>
  <si>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</si>
  <si>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</si>
  <si>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</si>
  <si>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</si>
  <si>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</si>
  <si>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</si>
  <si>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</si>
  <si>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</si>
  <si>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</si>
  <si>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</si>
  <si>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</si>
  <si>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</si>
  <si>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</si>
  <si>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</si>
  <si>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</si>
  <si>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</si>
  <si>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</si>
  <si>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</si>
  <si>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</si>
  <si>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</si>
  <si>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</si>
  <si>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</si>
  <si>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</si>
  <si>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</si>
  <si>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</si>
  <si>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</si>
  <si>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</si>
  <si>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</si>
  <si>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</si>
  <si>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</si>
  <si>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</si>
  <si>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</si>
  <si>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Upper Strength Limitation</t>
  </si>
  <si>
    <t>F =</t>
  </si>
  <si>
    <t>psi</t>
  </si>
  <si>
    <t>JOHNSON EULER COLUMN ANALYSIS, UPPER STRENGTH LIMIT</t>
  </si>
  <si>
    <t>AA-SM-018-004</t>
  </si>
  <si>
    <t>http://www.abbottaerospace.com/subscribe</t>
  </si>
  <si>
    <t>http://www.xl-viking.com/download-free-trial/</t>
  </si>
  <si>
    <t>http://www.abbottaerospace.com/engineering-services</t>
  </si>
  <si>
    <t>(Abbott, Richard. Analysis and Design of Composite and Metallic Flight Vehicle Structures 1st Edition, 2016)</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</si>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</sst>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Sheet1!$AF$20:$AF$57</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Sheet1!$Z$19:$Z$57</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Sheet1!$AC$19:$AC$57</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Sheet1!$AE$20:$AE$57</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Sheet1!$AM$28:$AM$30</c:f>
              <c:numCache>
                <c:formatCode>0.0</c:formatCode>
                <c:ptCount val="3"/>
                <c:pt idx="0">
                  <c:v>34.616809925407118</c:v>
                </c:pt>
                <c:pt idx="1">
                  <c:v>34.616809925407118</c:v>
                </c:pt>
                <c:pt idx="2" formatCode="General">
                  <c:v>0</c:v>
                </c:pt>
              </c:numCache>
            </c:numRef>
          </c:xVal>
          <c:yVal>
            <c:numRef>
              <c:f>Sheet1!$AN$28:$AN$30</c:f>
              <c:numCache>
                <c:formatCode>General</c:formatCode>
                <c:ptCount val="3"/>
                <c:pt idx="0">
                  <c:v>0</c:v>
                </c:pt>
                <c:pt idx="1">
                  <c:v>60000</c:v>
                </c:pt>
                <c:pt idx="2">
                  <c:v>60000</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Sheet1!$AM$32:$AM$33</c:f>
              <c:numCache>
                <c:formatCode>0.0</c:formatCode>
                <c:ptCount val="2"/>
                <c:pt idx="0">
                  <c:v>34.616809925407118</c:v>
                </c:pt>
                <c:pt idx="1">
                  <c:v>34.616809925407118</c:v>
                </c:pt>
              </c:numCache>
            </c:numRef>
          </c:xVal>
          <c:yVal>
            <c:numRef>
              <c:f>Sheet1!$AN$32:$AN$33</c:f>
              <c:numCache>
                <c:formatCode>0.0</c:formatCode>
                <c:ptCount val="2"/>
                <c:pt idx="0" formatCode="General">
                  <c:v>0</c:v>
                </c:pt>
                <c:pt idx="1">
                  <c:v>60000</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Sheet1!$AM$40:$AM$41</c:f>
              <c:numCache>
                <c:formatCode>General</c:formatCode>
                <c:ptCount val="2"/>
                <c:pt idx="0" formatCode="0.0">
                  <c:v>34.616809925407118</c:v>
                </c:pt>
                <c:pt idx="1">
                  <c:v>0</c:v>
                </c:pt>
              </c:numCache>
            </c:numRef>
          </c:xVal>
          <c:yVal>
            <c:numRef>
              <c:f>Sheet1!$AN$40:$AN$41</c:f>
              <c:numCache>
                <c:formatCode>General</c:formatCode>
                <c:ptCount val="2"/>
                <c:pt idx="0">
                  <c:v>60000</c:v>
                </c:pt>
                <c:pt idx="1">
                  <c:v>60000</c:v>
                </c:pt>
              </c:numCache>
            </c:numRef>
          </c:yVal>
          <c:smooth val="0"/>
          <c:extLst>
            <c:ext xmlns:c16="http://schemas.microsoft.com/office/drawing/2014/chart" uri="{C3380CC4-5D6E-409C-BE32-E72D297353CC}">
              <c16:uniqueId val="{0000000C-9424-4D7D-9771-0A53775EF07E}"/>
            </c:ext>
          </c:extLst>
        </c:ser>
        <c:ser>
          <c:idx val="5"/>
          <c:order val="6"/>
          <c:tx>
            <c:v>Upper Strength Limit</c:v>
          </c:tx>
          <c:spPr>
            <a:ln w="25400">
              <a:solidFill>
                <a:srgbClr val="FF0000"/>
              </a:solidFill>
              <a:prstDash val="dash"/>
            </a:ln>
          </c:spPr>
          <c:marker>
            <c:symbol val="none"/>
          </c:marker>
          <c:xVal>
            <c:numRef>
              <c:f>Sheet1!$AM$43:$AM$44</c:f>
              <c:numCache>
                <c:formatCode>General</c:formatCode>
                <c:ptCount val="2"/>
                <c:pt idx="0">
                  <c:v>0</c:v>
                </c:pt>
                <c:pt idx="1">
                  <c:v>120</c:v>
                </c:pt>
              </c:numCache>
            </c:numRef>
          </c:xVal>
          <c:yVal>
            <c:numRef>
              <c:f>Sheet1!$AN$43:$AN$44</c:f>
              <c:numCache>
                <c:formatCode>General</c:formatCode>
                <c:ptCount val="2"/>
                <c:pt idx="0">
                  <c:v>60000</c:v>
                </c:pt>
                <c:pt idx="1">
                  <c:v>60000</c:v>
                </c:pt>
              </c:numCache>
            </c:numRef>
          </c:yVal>
          <c:smooth val="0"/>
          <c:extLst>
            <c:ext xmlns:c16="http://schemas.microsoft.com/office/drawing/2014/chart" uri="{C3380CC4-5D6E-409C-BE32-E72D297353CC}">
              <c16:uniqueId val="{00000000-6EC2-4B10-A79D-1969E91852BD}"/>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4156456784646275"/>
              <c:y val="0.948342064331248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8764004039129925"/>
          <c:y val="5.8083116880970689E-2"/>
          <c:w val="0.3370947238283416"/>
          <c:h val="0.3194485467596954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16277847463472E-2"/>
          <c:y val="4.0169133192388996E-2"/>
          <c:w val="0.84718450154291192"/>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Sheet1!$AF$20:$AF$57</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00FA-4E3C-B38F-149814AC67E2}"/>
            </c:ext>
          </c:extLst>
        </c:ser>
        <c:ser>
          <c:idx val="2"/>
          <c:order val="1"/>
          <c:tx>
            <c:v>Tangent Modulus Based Column Allowable</c:v>
          </c:tx>
          <c:spPr>
            <a:ln w="25400">
              <a:solidFill>
                <a:schemeClr val="bg1">
                  <a:lumMod val="50000"/>
                </a:schemeClr>
              </a:solidFill>
              <a:prstDash val="solid"/>
            </a:ln>
          </c:spPr>
          <c:marker>
            <c:symbol val="none"/>
          </c:marker>
          <c:xVal>
            <c:numRef>
              <c:f>Sheet1!$Z$19:$Z$57</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Sheet1!$AC$19:$AC$57</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00FA-4E3C-B38F-149814AC67E2}"/>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Sheet1!$AE$20:$AE$57</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00FA-4E3C-B38F-149814AC67E2}"/>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L/Rho</a:t>
                </a:r>
              </a:p>
            </c:rich>
          </c:tx>
          <c:layout>
            <c:manualLayout>
              <c:xMode val="edge"/>
              <c:yMode val="edge"/>
              <c:x val="0.50248886631106549"/>
              <c:y val="0.9429175255532082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37088800"/>
        <c:crosses val="autoZero"/>
        <c:crossBetween val="midCat"/>
        <c:majorUnit val="20"/>
      </c:valAx>
      <c:valAx>
        <c:axId val="537088800"/>
        <c:scaling>
          <c:orientation val="minMax"/>
          <c:max val="85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solidFill>
              </a:defRPr>
            </a:pPr>
            <a:endParaRPr lang="en-US"/>
          </a:p>
        </c:txPr>
        <c:crossAx val="537095072"/>
        <c:crosses val="autoZero"/>
        <c:crossBetween val="midCat"/>
      </c:valAx>
      <c:spPr>
        <a:noFill/>
        <a:ln w="12700">
          <a:solidFill>
            <a:schemeClr val="bg1">
              <a:lumMod val="50000"/>
            </a:schemeClr>
          </a:solidFill>
        </a:ln>
      </c:spPr>
    </c:plotArea>
    <c:legend>
      <c:legendPos val="r"/>
      <c:layout>
        <c:manualLayout>
          <c:xMode val="edge"/>
          <c:yMode val="edge"/>
          <c:x val="0.55850946518113165"/>
          <c:y val="7.3823860830557531E-2"/>
          <c:w val="0.33910308741087053"/>
          <c:h val="0.1893281581537393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45</xdr:col>
      <xdr:colOff>110836</xdr:colOff>
      <xdr:row>11</xdr:row>
      <xdr:rowOff>110836</xdr:rowOff>
    </xdr:from>
    <xdr:to>
      <xdr:col>52</xdr:col>
      <xdr:colOff>541069</xdr:colOff>
      <xdr:row>45</xdr:row>
      <xdr:rowOff>103536</xdr:rowOff>
    </xdr:to>
    <xdr:graphicFrame macro="">
      <xdr:nvGraphicFramePr>
        <xdr:cNvPr id="21"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38250"/>
          <a:ext cx="2507796" cy="626929"/>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5</v>
      </c>
      <c r="C1" s="57" t="s">
        <v>3</v>
      </c>
      <c r="D1" s="55"/>
      <c r="E1" s="55"/>
      <c r="F1" s="56" t="s">
        <v>31</v>
      </c>
      <c r="G1" s="58"/>
      <c r="H1" s="55"/>
      <c r="I1" s="55"/>
      <c r="J1" s="55"/>
      <c r="K1" s="55"/>
      <c r="M1" s="82"/>
      <c r="N1" s="82"/>
      <c r="O1" s="82"/>
      <c r="P1" s="82"/>
      <c r="Q1" s="82"/>
      <c r="R1" s="82"/>
      <c r="S1" s="82"/>
      <c r="T1" s="83"/>
      <c r="U1" s="83"/>
      <c r="V1" s="83"/>
      <c r="W1" s="84"/>
      <c r="X1" s="85"/>
      <c r="Y1" s="83"/>
    </row>
    <row r="2" spans="1:25" s="59" customFormat="1" ht="13.8">
      <c r="A2" s="55"/>
      <c r="B2" s="56" t="s">
        <v>6</v>
      </c>
      <c r="C2" s="57" t="s">
        <v>2</v>
      </c>
      <c r="D2" s="55"/>
      <c r="E2" s="55"/>
      <c r="F2" s="56" t="s">
        <v>7</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32</v>
      </c>
      <c r="C4" s="58"/>
      <c r="D4" s="55"/>
      <c r="E4" s="55"/>
      <c r="F4" s="56" t="s">
        <v>33</v>
      </c>
      <c r="G4" s="57" t="s">
        <v>34</v>
      </c>
      <c r="H4" s="55"/>
      <c r="I4" s="55"/>
      <c r="J4" s="55"/>
      <c r="K4" s="55"/>
      <c r="M4" s="82"/>
      <c r="N4" s="82"/>
      <c r="O4" s="82"/>
      <c r="P4" s="82"/>
      <c r="Q4" s="86"/>
      <c r="R4" s="87"/>
      <c r="S4" s="87"/>
      <c r="T4" s="83"/>
      <c r="U4" s="83"/>
      <c r="V4" s="83"/>
      <c r="W4" s="84"/>
      <c r="X4" s="85"/>
      <c r="Y4" s="83"/>
    </row>
    <row r="5" spans="1:25" s="59" customFormat="1" ht="13.8">
      <c r="A5" s="55"/>
      <c r="B5" s="56" t="s">
        <v>35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8</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1" t="s">
        <v>41</v>
      </c>
      <c r="C16" s="121"/>
      <c r="D16" s="121"/>
      <c r="E16" s="121"/>
      <c r="F16" s="121"/>
      <c r="G16" s="121"/>
      <c r="H16" s="121"/>
      <c r="I16" s="121"/>
      <c r="J16" s="121"/>
      <c r="M16" s="86"/>
      <c r="N16" s="86"/>
      <c r="O16" s="86"/>
      <c r="P16" s="86"/>
      <c r="Q16" s="86"/>
      <c r="R16" s="87"/>
      <c r="S16" s="87"/>
      <c r="T16" s="83"/>
      <c r="U16" s="83"/>
      <c r="V16" s="83"/>
      <c r="W16" s="83"/>
      <c r="X16" s="83"/>
      <c r="Y16" s="83"/>
    </row>
    <row r="17" spans="1:25" s="59" customFormat="1" ht="13.8">
      <c r="B17" s="121"/>
      <c r="C17" s="121"/>
      <c r="D17" s="121"/>
      <c r="E17" s="121"/>
      <c r="F17" s="121"/>
      <c r="G17" s="121"/>
      <c r="H17" s="121"/>
      <c r="I17" s="121"/>
      <c r="J17" s="121"/>
      <c r="M17" s="86"/>
      <c r="N17" s="86"/>
      <c r="O17" s="86"/>
      <c r="P17" s="86"/>
      <c r="Q17" s="86"/>
      <c r="R17" s="87"/>
      <c r="S17" s="87"/>
      <c r="T17" s="83"/>
      <c r="U17" s="83"/>
      <c r="V17" s="83"/>
      <c r="W17" s="83"/>
      <c r="X17" s="83"/>
      <c r="Y17" s="83"/>
    </row>
    <row r="18" spans="1:25" s="59" customFormat="1" ht="13.8">
      <c r="B18" s="121"/>
      <c r="C18" s="121"/>
      <c r="D18" s="121"/>
      <c r="E18" s="121"/>
      <c r="F18" s="121"/>
      <c r="G18" s="121"/>
      <c r="H18" s="121"/>
      <c r="I18" s="121"/>
      <c r="J18" s="121"/>
      <c r="M18" s="86"/>
      <c r="N18" s="86"/>
      <c r="O18" s="86"/>
      <c r="P18" s="86"/>
      <c r="Q18" s="86"/>
      <c r="R18" s="87"/>
      <c r="S18" s="87"/>
      <c r="T18" s="83"/>
      <c r="U18" s="83"/>
      <c r="V18" s="83"/>
      <c r="W18" s="83"/>
      <c r="X18" s="83"/>
      <c r="Y18" s="83"/>
    </row>
    <row r="19" spans="1:25" s="59" customFormat="1" ht="13.8">
      <c r="B19" s="121"/>
      <c r="C19" s="121"/>
      <c r="D19" s="121"/>
      <c r="E19" s="121"/>
      <c r="F19" s="121"/>
      <c r="G19" s="121"/>
      <c r="H19" s="121"/>
      <c r="I19" s="121"/>
      <c r="J19" s="121"/>
      <c r="M19" s="86"/>
      <c r="N19" s="86"/>
      <c r="O19" s="86"/>
      <c r="P19" s="86"/>
      <c r="Q19" s="86"/>
      <c r="R19" s="87"/>
      <c r="S19" s="87"/>
      <c r="T19" s="83"/>
      <c r="U19" s="83"/>
      <c r="V19" s="83"/>
      <c r="W19" s="83"/>
      <c r="X19" s="83"/>
      <c r="Y19" s="83"/>
    </row>
    <row r="20" spans="1:25" s="59" customFormat="1" ht="12.75" customHeight="1">
      <c r="A20" s="73"/>
      <c r="B20" s="74" t="s">
        <v>42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1" t="s">
        <v>43</v>
      </c>
      <c r="C22" s="121"/>
      <c r="D22" s="121"/>
      <c r="E22" s="121"/>
      <c r="F22" s="121"/>
      <c r="G22" s="121"/>
      <c r="H22" s="121"/>
      <c r="I22" s="121"/>
      <c r="J22" s="121"/>
      <c r="K22" s="73"/>
      <c r="M22" s="86"/>
      <c r="N22" s="86"/>
      <c r="O22" s="86"/>
      <c r="P22" s="86"/>
      <c r="Q22" s="86"/>
      <c r="R22" s="87"/>
      <c r="S22" s="87"/>
      <c r="T22" s="83"/>
      <c r="U22" s="83"/>
      <c r="V22" s="83"/>
      <c r="W22" s="83"/>
      <c r="X22" s="83"/>
      <c r="Y22" s="83"/>
    </row>
    <row r="23" spans="1:25" s="59" customFormat="1" ht="13.8">
      <c r="A23" s="73"/>
      <c r="B23" s="121"/>
      <c r="C23" s="121"/>
      <c r="D23" s="121"/>
      <c r="E23" s="121"/>
      <c r="F23" s="121"/>
      <c r="G23" s="121"/>
      <c r="H23" s="121"/>
      <c r="I23" s="121"/>
      <c r="J23" s="121"/>
      <c r="K23" s="73"/>
      <c r="M23" s="86"/>
      <c r="N23" s="86"/>
      <c r="O23" s="86"/>
      <c r="P23" s="86"/>
      <c r="Q23" s="86"/>
      <c r="R23" s="87"/>
      <c r="S23" s="90"/>
      <c r="T23" s="83"/>
      <c r="U23" s="83"/>
      <c r="V23" s="83"/>
      <c r="W23" s="83"/>
      <c r="X23" s="83"/>
      <c r="Y23" s="83"/>
    </row>
    <row r="24" spans="1:25" s="59" customFormat="1" ht="13.8">
      <c r="A24" s="73"/>
      <c r="B24" s="121"/>
      <c r="C24" s="121"/>
      <c r="D24" s="121"/>
      <c r="E24" s="121"/>
      <c r="F24" s="121"/>
      <c r="G24" s="121"/>
      <c r="H24" s="121"/>
      <c r="I24" s="121"/>
      <c r="J24" s="121"/>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7" t="s">
        <v>85</v>
      </c>
      <c r="G25" s="116"/>
      <c r="H25" s="116"/>
      <c r="I25" s="116"/>
      <c r="J25" s="116"/>
      <c r="K25" s="73"/>
      <c r="M25" s="86"/>
      <c r="N25" s="86"/>
      <c r="O25" s="86"/>
      <c r="P25" s="86"/>
      <c r="Q25" s="86"/>
      <c r="R25" s="87"/>
      <c r="S25" s="87"/>
      <c r="T25" s="83"/>
      <c r="U25" s="83"/>
      <c r="V25" s="83"/>
      <c r="W25" s="83"/>
      <c r="X25" s="83"/>
      <c r="Y25" s="83"/>
    </row>
    <row r="26" spans="1:25" s="59" customFormat="1" ht="13.8">
      <c r="A26" s="73"/>
      <c r="B26" s="121" t="s">
        <v>44</v>
      </c>
      <c r="C26" s="121"/>
      <c r="D26" s="121"/>
      <c r="E26" s="121"/>
      <c r="F26" s="121"/>
      <c r="G26" s="121"/>
      <c r="H26" s="121"/>
      <c r="I26" s="121"/>
      <c r="J26" s="121"/>
      <c r="K26" s="73"/>
      <c r="M26" s="86"/>
      <c r="N26" s="86"/>
      <c r="O26" s="86"/>
      <c r="P26" s="86"/>
      <c r="Q26" s="86"/>
      <c r="R26" s="87"/>
      <c r="S26" s="87"/>
      <c r="T26" s="83"/>
      <c r="U26" s="83"/>
      <c r="V26" s="83"/>
      <c r="W26" s="83"/>
      <c r="X26" s="83"/>
      <c r="Y26" s="83"/>
    </row>
    <row r="27" spans="1:25" s="59" customFormat="1" ht="13.8">
      <c r="A27" s="73"/>
      <c r="B27" s="121"/>
      <c r="C27" s="121"/>
      <c r="D27" s="121"/>
      <c r="E27" s="121"/>
      <c r="F27" s="121"/>
      <c r="G27" s="121"/>
      <c r="H27" s="121"/>
      <c r="I27" s="121"/>
      <c r="J27" s="121"/>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21" t="s">
        <v>45</v>
      </c>
      <c r="C29" s="121"/>
      <c r="D29" s="121"/>
      <c r="E29" s="121"/>
      <c r="F29" s="121"/>
      <c r="G29" s="121"/>
      <c r="H29" s="121"/>
      <c r="I29" s="121"/>
      <c r="J29" s="121"/>
      <c r="K29" s="73"/>
      <c r="M29" s="86"/>
      <c r="N29" s="86"/>
      <c r="O29" s="86"/>
      <c r="P29" s="86"/>
      <c r="Q29" s="86"/>
      <c r="R29" s="87"/>
      <c r="S29" s="87"/>
      <c r="T29" s="83"/>
      <c r="U29" s="83"/>
      <c r="V29" s="83"/>
      <c r="W29" s="83"/>
      <c r="X29" s="83"/>
      <c r="Y29" s="83"/>
    </row>
    <row r="30" spans="1:25" s="59" customFormat="1" ht="13.8">
      <c r="A30" s="73"/>
      <c r="B30" s="121"/>
      <c r="C30" s="121"/>
      <c r="D30" s="121"/>
      <c r="E30" s="121"/>
      <c r="F30" s="121"/>
      <c r="G30" s="121"/>
      <c r="H30" s="121"/>
      <c r="I30" s="121"/>
      <c r="J30" s="121"/>
      <c r="K30" s="73"/>
      <c r="M30" s="86"/>
      <c r="N30" s="86"/>
      <c r="O30" s="86"/>
      <c r="P30" s="86"/>
      <c r="Q30" s="86"/>
      <c r="R30" s="87"/>
      <c r="S30" s="87"/>
      <c r="T30" s="83"/>
      <c r="U30" s="83"/>
      <c r="V30" s="83"/>
      <c r="W30" s="83"/>
      <c r="X30" s="83"/>
      <c r="Y30" s="83"/>
    </row>
    <row r="31" spans="1:25" s="59" customFormat="1" ht="12.75" customHeight="1">
      <c r="A31" s="73"/>
      <c r="B31" s="121"/>
      <c r="C31" s="121"/>
      <c r="D31" s="121"/>
      <c r="E31" s="121"/>
      <c r="F31" s="121"/>
      <c r="G31" s="121"/>
      <c r="H31" s="121"/>
      <c r="I31" s="121"/>
      <c r="J31" s="121"/>
      <c r="K31" s="73"/>
      <c r="M31" s="86"/>
      <c r="N31" s="86"/>
      <c r="O31" s="86"/>
      <c r="P31" s="86"/>
      <c r="Q31" s="86"/>
      <c r="R31" s="87"/>
      <c r="S31" s="87"/>
      <c r="T31" s="83"/>
      <c r="U31" s="83"/>
      <c r="V31" s="83"/>
      <c r="W31" s="83"/>
      <c r="X31" s="83"/>
      <c r="Y31" s="83"/>
    </row>
    <row r="32" spans="1:25" s="59" customFormat="1" ht="13.8">
      <c r="A32" s="73"/>
      <c r="B32" s="121"/>
      <c r="C32" s="121"/>
      <c r="D32" s="121"/>
      <c r="E32" s="121"/>
      <c r="F32" s="121"/>
      <c r="G32" s="121"/>
      <c r="H32" s="121"/>
      <c r="I32" s="121"/>
      <c r="J32" s="121"/>
      <c r="K32" s="73"/>
      <c r="M32" s="86"/>
      <c r="N32" s="86"/>
      <c r="O32" s="86"/>
      <c r="P32" s="86"/>
      <c r="Q32" s="86"/>
      <c r="R32" s="87"/>
      <c r="S32" s="87"/>
      <c r="T32" s="83"/>
      <c r="U32" s="83"/>
      <c r="V32" s="83"/>
      <c r="W32" s="83"/>
      <c r="X32" s="83"/>
      <c r="Y32" s="83"/>
    </row>
    <row r="33" spans="1:25" s="59" customFormat="1" ht="12.75" customHeight="1">
      <c r="A33" s="73"/>
      <c r="B33" s="121"/>
      <c r="C33" s="121"/>
      <c r="D33" s="121"/>
      <c r="E33" s="121"/>
      <c r="F33" s="121"/>
      <c r="G33" s="121"/>
      <c r="H33" s="121"/>
      <c r="I33" s="121"/>
      <c r="J33" s="121"/>
      <c r="K33" s="73"/>
      <c r="M33" s="86"/>
      <c r="N33" s="86"/>
      <c r="O33" s="86"/>
      <c r="P33" s="86"/>
      <c r="Q33" s="86"/>
      <c r="R33" s="87"/>
      <c r="S33" s="87"/>
      <c r="T33" s="83"/>
      <c r="U33" s="83"/>
      <c r="V33" s="83"/>
      <c r="W33" s="83"/>
      <c r="X33" s="83"/>
      <c r="Y33" s="83"/>
    </row>
    <row r="34" spans="1:25" s="59" customFormat="1" ht="13.8">
      <c r="A34" s="73"/>
      <c r="B34" s="116"/>
      <c r="C34" s="116"/>
      <c r="D34" s="123" t="s">
        <v>37</v>
      </c>
      <c r="E34" s="123"/>
      <c r="F34" s="123"/>
      <c r="G34" s="123"/>
      <c r="H34" s="123"/>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38</v>
      </c>
      <c r="C36" s="73"/>
      <c r="D36" s="73"/>
      <c r="E36" s="73"/>
      <c r="F36" s="118"/>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8"/>
      <c r="G37" s="73"/>
      <c r="H37" s="73"/>
      <c r="I37" s="73"/>
      <c r="J37" s="73"/>
      <c r="K37" s="73"/>
      <c r="M37" s="86"/>
      <c r="N37" s="86"/>
      <c r="O37" s="86"/>
      <c r="P37" s="86"/>
      <c r="Q37" s="86"/>
      <c r="R37" s="87"/>
      <c r="S37" s="87"/>
      <c r="T37" s="83"/>
      <c r="U37" s="83"/>
      <c r="V37" s="83"/>
      <c r="W37" s="83"/>
      <c r="X37" s="83"/>
      <c r="Y37" s="83"/>
    </row>
    <row r="38" spans="1:25" s="59" customFormat="1" ht="13.8">
      <c r="A38" s="73"/>
      <c r="B38" s="121" t="s">
        <v>46</v>
      </c>
      <c r="C38" s="121"/>
      <c r="D38" s="121"/>
      <c r="E38" s="121"/>
      <c r="F38" s="121"/>
      <c r="G38" s="121"/>
      <c r="H38" s="121"/>
      <c r="I38" s="121"/>
      <c r="J38" s="121"/>
      <c r="K38" s="73"/>
      <c r="M38" s="86"/>
      <c r="N38" s="86"/>
      <c r="O38" s="86"/>
      <c r="P38" s="86"/>
      <c r="Q38" s="86"/>
      <c r="R38" s="87"/>
      <c r="S38" s="87"/>
      <c r="T38" s="83"/>
      <c r="U38" s="83"/>
      <c r="V38" s="83"/>
      <c r="W38" s="83"/>
      <c r="X38" s="83"/>
      <c r="Y38" s="83"/>
    </row>
    <row r="39" spans="1:25" s="59" customFormat="1" ht="13.8">
      <c r="A39" s="73"/>
      <c r="B39" s="121"/>
      <c r="C39" s="121"/>
      <c r="D39" s="121"/>
      <c r="E39" s="121"/>
      <c r="F39" s="121"/>
      <c r="G39" s="121"/>
      <c r="H39" s="121"/>
      <c r="I39" s="121"/>
      <c r="J39" s="121"/>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21" t="s">
        <v>47</v>
      </c>
      <c r="C41" s="121"/>
      <c r="D41" s="121"/>
      <c r="E41" s="121"/>
      <c r="F41" s="121"/>
      <c r="G41" s="121"/>
      <c r="H41" s="121"/>
      <c r="I41" s="121"/>
      <c r="J41" s="121"/>
      <c r="K41" s="73"/>
      <c r="M41" s="86"/>
      <c r="N41" s="86"/>
      <c r="O41" s="86"/>
      <c r="P41" s="86"/>
      <c r="Q41" s="86"/>
      <c r="R41" s="87"/>
      <c r="S41" s="87"/>
      <c r="T41" s="83"/>
      <c r="U41" s="83"/>
      <c r="V41" s="83"/>
      <c r="W41" s="83"/>
      <c r="X41" s="83"/>
      <c r="Y41" s="83"/>
    </row>
    <row r="42" spans="1:25" s="59" customFormat="1" ht="13.8">
      <c r="A42" s="73"/>
      <c r="B42" s="121"/>
      <c r="C42" s="121"/>
      <c r="D42" s="121"/>
      <c r="E42" s="121"/>
      <c r="F42" s="121"/>
      <c r="G42" s="121"/>
      <c r="H42" s="121"/>
      <c r="I42" s="121"/>
      <c r="J42" s="121"/>
      <c r="K42" s="73"/>
      <c r="M42" s="86"/>
      <c r="N42" s="86"/>
      <c r="O42" s="86"/>
      <c r="P42" s="86"/>
      <c r="Q42" s="86"/>
      <c r="R42" s="87"/>
      <c r="S42" s="87"/>
      <c r="T42" s="83"/>
      <c r="U42" s="83"/>
      <c r="V42" s="83"/>
      <c r="W42" s="83"/>
      <c r="X42" s="83"/>
      <c r="Y42" s="83"/>
    </row>
    <row r="43" spans="1:25" s="59" customFormat="1" ht="13.8">
      <c r="A43" s="73"/>
      <c r="B43" s="121"/>
      <c r="C43" s="121"/>
      <c r="D43" s="121"/>
      <c r="E43" s="121"/>
      <c r="F43" s="121"/>
      <c r="G43" s="121"/>
      <c r="H43" s="121"/>
      <c r="I43" s="121"/>
      <c r="J43" s="121"/>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21" t="s">
        <v>39</v>
      </c>
      <c r="C45" s="121"/>
      <c r="D45" s="121"/>
      <c r="E45" s="121"/>
      <c r="F45" s="121"/>
      <c r="G45" s="121"/>
      <c r="H45" s="121"/>
      <c r="I45" s="121"/>
      <c r="J45" s="121"/>
      <c r="K45" s="73"/>
      <c r="M45" s="86"/>
      <c r="N45" s="86"/>
      <c r="O45" s="86"/>
      <c r="P45" s="86"/>
      <c r="Q45" s="86"/>
      <c r="R45" s="87"/>
      <c r="S45" s="87"/>
      <c r="T45" s="83"/>
      <c r="U45" s="83"/>
      <c r="V45" s="83"/>
      <c r="W45" s="83"/>
      <c r="X45" s="83"/>
      <c r="Y45" s="83"/>
    </row>
    <row r="46" spans="1:25" s="59" customFormat="1" ht="13.8">
      <c r="A46" s="73"/>
      <c r="B46" s="121"/>
      <c r="C46" s="121"/>
      <c r="D46" s="121"/>
      <c r="E46" s="121"/>
      <c r="F46" s="121"/>
      <c r="G46" s="121"/>
      <c r="H46" s="121"/>
      <c r="I46" s="121"/>
      <c r="J46" s="121"/>
      <c r="K46" s="73"/>
      <c r="M46" s="86"/>
      <c r="N46" s="86"/>
      <c r="O46" s="86"/>
      <c r="P46" s="86"/>
      <c r="Q46" s="86"/>
      <c r="R46" s="87"/>
      <c r="S46" s="87"/>
      <c r="T46" s="83"/>
      <c r="U46" s="83"/>
      <c r="V46" s="83"/>
      <c r="W46" s="83"/>
      <c r="X46" s="83"/>
      <c r="Y46" s="83"/>
    </row>
    <row r="47" spans="1:25" s="59" customFormat="1" ht="13.8">
      <c r="A47" s="73"/>
      <c r="B47" s="121"/>
      <c r="C47" s="121"/>
      <c r="D47" s="121"/>
      <c r="E47" s="121"/>
      <c r="F47" s="121"/>
      <c r="G47" s="121"/>
      <c r="H47" s="121"/>
      <c r="I47" s="121"/>
      <c r="J47" s="121"/>
      <c r="K47" s="73"/>
      <c r="M47" s="86"/>
      <c r="N47" s="86"/>
      <c r="O47" s="86"/>
      <c r="P47" s="86"/>
      <c r="Q47" s="86"/>
      <c r="R47" s="87"/>
      <c r="S47" s="87"/>
      <c r="T47" s="83"/>
      <c r="U47" s="83"/>
      <c r="V47" s="83"/>
      <c r="W47" s="83"/>
      <c r="X47" s="83"/>
      <c r="Y47" s="83"/>
    </row>
    <row r="48" spans="1:25" s="59" customFormat="1" ht="12.75" customHeight="1">
      <c r="A48" s="73"/>
      <c r="B48" s="121"/>
      <c r="C48" s="121"/>
      <c r="D48" s="121"/>
      <c r="E48" s="121"/>
      <c r="F48" s="121"/>
      <c r="G48" s="121"/>
      <c r="H48" s="121"/>
      <c r="I48" s="121"/>
      <c r="J48" s="121"/>
      <c r="K48" s="73"/>
      <c r="M48" s="86"/>
      <c r="N48" s="86"/>
      <c r="O48" s="86"/>
      <c r="P48" s="86"/>
      <c r="Q48" s="86"/>
      <c r="R48" s="87"/>
      <c r="S48" s="87"/>
      <c r="T48" s="83"/>
      <c r="U48" s="83"/>
      <c r="V48" s="83"/>
      <c r="W48" s="83"/>
      <c r="X48" s="83"/>
      <c r="Y48" s="83"/>
    </row>
    <row r="49" spans="1:25" s="59" customFormat="1" ht="13.8">
      <c r="A49" s="73"/>
      <c r="B49" s="73" t="s">
        <v>48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7" t="s">
        <v>86</v>
      </c>
      <c r="G50" s="118"/>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2" t="s">
        <v>51</v>
      </c>
      <c r="C54" s="122"/>
      <c r="D54" s="122"/>
      <c r="E54" s="122"/>
      <c r="F54" s="122"/>
      <c r="G54" s="122"/>
      <c r="H54" s="122"/>
      <c r="I54" s="122"/>
      <c r="J54" s="122"/>
      <c r="K54" s="73"/>
      <c r="M54" s="86"/>
      <c r="N54" s="86"/>
      <c r="O54" s="86"/>
      <c r="P54" s="86"/>
      <c r="Q54" s="86"/>
      <c r="R54" s="87"/>
      <c r="S54" s="87"/>
      <c r="T54" s="83"/>
      <c r="U54" s="83"/>
      <c r="V54" s="83"/>
      <c r="W54" s="83"/>
      <c r="X54" s="83"/>
      <c r="Y54" s="83"/>
    </row>
    <row r="55" spans="1:25" s="59" customFormat="1" ht="13.8">
      <c r="A55" s="73"/>
      <c r="B55" s="122"/>
      <c r="C55" s="122"/>
      <c r="D55" s="122"/>
      <c r="E55" s="122"/>
      <c r="F55" s="122"/>
      <c r="G55" s="122"/>
      <c r="H55" s="122"/>
      <c r="I55" s="122"/>
      <c r="J55" s="122"/>
      <c r="K55" s="73"/>
      <c r="M55" s="86"/>
      <c r="N55" s="86"/>
      <c r="O55" s="86"/>
      <c r="P55" s="86"/>
      <c r="Q55" s="86"/>
      <c r="R55" s="87"/>
      <c r="S55" s="87"/>
      <c r="T55" s="83"/>
      <c r="U55" s="83"/>
      <c r="V55" s="83"/>
      <c r="W55" s="83"/>
      <c r="X55" s="83"/>
      <c r="Y55" s="83"/>
    </row>
    <row r="56" spans="1:25" s="59" customFormat="1" ht="13.8">
      <c r="A56" s="73"/>
      <c r="B56" s="122"/>
      <c r="C56" s="122"/>
      <c r="D56" s="122"/>
      <c r="E56" s="122"/>
      <c r="F56" s="122"/>
      <c r="G56" s="122"/>
      <c r="H56" s="122"/>
      <c r="I56" s="122"/>
      <c r="J56" s="122"/>
      <c r="K56" s="73"/>
      <c r="M56" s="86"/>
      <c r="N56" s="86"/>
      <c r="O56"/>
      <c r="P56" s="86"/>
      <c r="Q56" s="86"/>
      <c r="R56" s="87"/>
      <c r="S56" s="87"/>
      <c r="T56" s="83"/>
      <c r="U56" s="83"/>
      <c r="V56" s="83"/>
      <c r="W56" s="83"/>
      <c r="X56" s="83"/>
      <c r="Y56" s="83"/>
    </row>
    <row r="57" spans="1:25" s="59" customFormat="1" ht="13.8">
      <c r="A57" s="73"/>
      <c r="B57" s="73"/>
      <c r="C57" s="73"/>
      <c r="D57" s="73"/>
      <c r="F57" s="118"/>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19"/>
      <c r="P59" s="86"/>
      <c r="Q59" s="86"/>
      <c r="R59" s="87"/>
      <c r="S59" s="87"/>
      <c r="T59" s="83"/>
      <c r="U59" s="83"/>
      <c r="V59" s="83"/>
      <c r="W59" s="83"/>
      <c r="X59" s="83"/>
      <c r="Y59" s="83"/>
    </row>
    <row r="60" spans="1:25" s="59" customFormat="1" ht="13.8">
      <c r="A60" s="73"/>
      <c r="B60" s="73" t="s">
        <v>40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7" t="s">
        <v>87</v>
      </c>
      <c r="G61" s="120"/>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zoomScale="70" zoomScaleNormal="100" zoomScaleSheetLayoutView="70" workbookViewId="0">
      <selection activeCell="G4" sqref="G4"/>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5</v>
      </c>
      <c r="C1" s="92" t="s">
        <v>3</v>
      </c>
      <c r="D1" s="59"/>
      <c r="E1" s="59"/>
      <c r="F1" s="60" t="s">
        <v>31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6</v>
      </c>
      <c r="C2" s="92" t="s">
        <v>2</v>
      </c>
      <c r="D2" s="59"/>
      <c r="E2" s="59"/>
      <c r="F2" s="60" t="s">
        <v>7</v>
      </c>
      <c r="G2" s="93" t="s">
        <v>84</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53</v>
      </c>
      <c r="D3" s="59"/>
      <c r="E3" s="59"/>
      <c r="F3" s="60" t="s">
        <v>4</v>
      </c>
      <c r="G3" s="93" t="s">
        <v>89</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32</v>
      </c>
      <c r="C4" s="93"/>
      <c r="D4" s="59"/>
      <c r="E4" s="59"/>
      <c r="F4" s="60" t="s">
        <v>33</v>
      </c>
      <c r="G4" s="92" t="s">
        <v>83</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35</v>
      </c>
      <c r="C5" s="58" t="s">
        <v>54</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8</v>
      </c>
      <c r="C6" s="93"/>
      <c r="D6" s="59"/>
      <c r="E6" s="59"/>
      <c r="F6" s="59"/>
      <c r="G6" s="59"/>
      <c r="H6" s="59"/>
      <c r="I6" s="59"/>
      <c r="J6" s="59"/>
      <c r="K6" s="59"/>
      <c r="T6" s="76"/>
      <c r="U6" s="54" t="s">
        <v>30</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5</v>
      </c>
      <c r="F8" s="61" t="str">
        <f>$C$1</f>
        <v>R. Abbott</v>
      </c>
      <c r="G8" s="59"/>
      <c r="H8" s="65"/>
      <c r="I8" s="60" t="s">
        <v>9</v>
      </c>
      <c r="J8" s="66" t="str">
        <f>$G$2</f>
        <v>AA-SM-018-004</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6</v>
      </c>
      <c r="F9" s="65" t="str">
        <f>$C$2</f>
        <v xml:space="preserve"> </v>
      </c>
      <c r="G9" s="59"/>
      <c r="H9" s="65"/>
      <c r="I9" s="60" t="s">
        <v>10</v>
      </c>
      <c r="J9" s="67" t="str">
        <f>$G$3</f>
        <v>C</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11</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55</v>
      </c>
      <c r="F11" s="65" t="str">
        <f>$C$5</f>
        <v>STANDARD SPREADSHEET METHOD</v>
      </c>
      <c r="G11" s="59"/>
      <c r="H11" s="59"/>
      <c r="I11" s="69"/>
      <c r="J11" s="61"/>
      <c r="K11" s="59"/>
      <c r="L11" s="8"/>
      <c r="S11" s="43"/>
      <c r="T11" s="43"/>
    </row>
    <row r="12" spans="1:186" ht="15.6">
      <c r="A12" s="70"/>
      <c r="B12" s="71" t="str">
        <f>($C$4)&amp;" "&amp;$G$4</f>
        <v xml:space="preserve"> JOHNSON EULER COLUMN ANALYSIS, UPPER STRENGTH LIMIT</v>
      </c>
      <c r="C12" s="70"/>
      <c r="D12" s="70"/>
      <c r="E12" s="70"/>
      <c r="F12" s="70"/>
      <c r="G12" s="70"/>
      <c r="H12" s="70"/>
      <c r="I12" s="70"/>
      <c r="J12" s="70"/>
      <c r="K12" s="70"/>
    </row>
    <row r="13" spans="1:186">
      <c r="A13" s="59"/>
      <c r="B13" s="124" t="s">
        <v>88</v>
      </c>
      <c r="C13" s="124"/>
      <c r="D13" s="124"/>
      <c r="E13" s="124"/>
      <c r="F13" s="124"/>
      <c r="G13" s="124"/>
      <c r="H13" s="124"/>
      <c r="I13" s="124"/>
      <c r="J13" s="124"/>
      <c r="K13" s="124"/>
    </row>
    <row r="14" spans="1:186">
      <c r="A14" s="14"/>
      <c r="B14" s="44"/>
      <c r="C14" s="15"/>
      <c r="D14" s="15"/>
      <c r="E14" s="15"/>
      <c r="F14" s="15"/>
      <c r="G14" s="15"/>
      <c r="H14" s="15"/>
      <c r="I14" s="15"/>
      <c r="J14" s="15"/>
      <c r="K14" s="15"/>
      <c r="S14" s="43"/>
      <c r="T14" s="43"/>
      <c r="Y14" s="22" t="s">
        <v>18</v>
      </c>
      <c r="Z14" s="22" t="s">
        <v>19</v>
      </c>
      <c r="AA14" s="22" t="s">
        <v>20</v>
      </c>
      <c r="AB14" s="22" t="s">
        <v>21</v>
      </c>
      <c r="AC14" s="22" t="s">
        <v>1</v>
      </c>
      <c r="AD14" s="22" t="s">
        <v>17</v>
      </c>
      <c r="AE14" s="22" t="s">
        <v>13</v>
      </c>
      <c r="AF14" s="22" t="s">
        <v>13</v>
      </c>
      <c r="AI14" s="9"/>
      <c r="AK14" s="9"/>
    </row>
    <row r="15" spans="1:186">
      <c r="A15" s="15"/>
      <c r="B15" s="17" t="s">
        <v>59</v>
      </c>
      <c r="C15" s="17"/>
      <c r="D15" s="17"/>
      <c r="E15" s="17" t="s">
        <v>67</v>
      </c>
      <c r="F15" s="17"/>
      <c r="G15" s="17"/>
      <c r="H15" s="17" t="s">
        <v>78</v>
      </c>
      <c r="I15" s="17"/>
      <c r="J15" s="17"/>
      <c r="K15" s="17"/>
      <c r="S15" s="43"/>
      <c r="T15" s="43"/>
      <c r="Y15" s="22"/>
      <c r="Z15" s="22" t="s">
        <v>18</v>
      </c>
      <c r="AA15" s="22" t="s">
        <v>22</v>
      </c>
      <c r="AB15" s="22" t="s">
        <v>23</v>
      </c>
      <c r="AC15" s="22" t="s">
        <v>13</v>
      </c>
      <c r="AD15" s="22" t="s">
        <v>15</v>
      </c>
      <c r="AE15" s="22" t="s">
        <v>24</v>
      </c>
      <c r="AF15" s="22" t="s">
        <v>25</v>
      </c>
      <c r="AI15" s="9"/>
      <c r="AJ15" s="9"/>
      <c r="AK15" s="9"/>
    </row>
    <row r="16" spans="1:186" ht="15">
      <c r="A16" s="14"/>
      <c r="B16" s="24" t="s">
        <v>56</v>
      </c>
      <c r="C16" s="98">
        <v>90000</v>
      </c>
      <c r="D16" s="17" t="str">
        <f>IF(C16="","","psi")</f>
        <v>psi</v>
      </c>
      <c r="E16" s="24" t="s">
        <v>60</v>
      </c>
      <c r="F16" s="103">
        <v>27</v>
      </c>
      <c r="G16" s="21" t="s">
        <v>64</v>
      </c>
      <c r="H16" s="20" t="s">
        <v>77</v>
      </c>
      <c r="I16" s="113">
        <v>5600</v>
      </c>
      <c r="J16" s="6" t="s">
        <v>75</v>
      </c>
      <c r="K16" s="19"/>
      <c r="S16" s="43"/>
      <c r="T16" s="43"/>
      <c r="Y16" s="22"/>
      <c r="Z16" s="22"/>
      <c r="AA16" s="22" t="s">
        <v>26</v>
      </c>
      <c r="AB16" s="22"/>
      <c r="AC16" s="22" t="s">
        <v>12</v>
      </c>
      <c r="AD16" s="22"/>
      <c r="AE16" s="22" t="s">
        <v>27</v>
      </c>
      <c r="AF16" s="22" t="s">
        <v>28</v>
      </c>
      <c r="AI16" s="9"/>
      <c r="AJ16" s="15"/>
      <c r="AK16" s="9"/>
    </row>
    <row r="17" spans="1:91" ht="13.8" customHeight="1">
      <c r="A17" s="15"/>
      <c r="B17" s="24" t="s">
        <v>57</v>
      </c>
      <c r="C17" s="98">
        <v>75000</v>
      </c>
      <c r="D17" s="17" t="str">
        <f>IF(C17="","","psi")</f>
        <v>psi</v>
      </c>
      <c r="E17" s="101" t="s">
        <v>61</v>
      </c>
      <c r="F17" s="104">
        <v>0.503</v>
      </c>
      <c r="G17" s="106" t="s">
        <v>65</v>
      </c>
      <c r="K17" s="17"/>
      <c r="S17" s="43"/>
      <c r="T17" s="43"/>
      <c r="U17" s="15"/>
      <c r="V17" s="15"/>
      <c r="W17" s="15"/>
      <c r="X17" s="15"/>
      <c r="Y17" s="15"/>
      <c r="Z17" s="15"/>
      <c r="AA17" s="15"/>
      <c r="AB17" s="15"/>
      <c r="AC17" s="15"/>
      <c r="AD17" s="15"/>
      <c r="AE17" s="22" t="s">
        <v>29</v>
      </c>
      <c r="AF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58</v>
      </c>
      <c r="C18" s="98">
        <v>10500000</v>
      </c>
      <c r="D18" s="17" t="str">
        <f>IF(C18="","","psi")</f>
        <v>psi</v>
      </c>
      <c r="E18" s="20" t="s">
        <v>63</v>
      </c>
      <c r="F18" s="105">
        <v>0.255</v>
      </c>
      <c r="G18" s="107" t="s">
        <v>66</v>
      </c>
      <c r="H18" s="6" t="s">
        <v>80</v>
      </c>
      <c r="K18" s="17"/>
      <c r="S18" s="43"/>
      <c r="T18" s="43"/>
      <c r="U18" s="22"/>
      <c r="V18" s="15"/>
      <c r="W18" s="15"/>
      <c r="X18" s="15"/>
      <c r="Y18" s="22"/>
      <c r="Z18" s="22"/>
      <c r="AA18" s="22"/>
      <c r="AB18" s="22"/>
      <c r="AC18" s="22" t="s">
        <v>16</v>
      </c>
      <c r="AD18" s="22" t="s">
        <v>16</v>
      </c>
      <c r="AE18" s="22" t="s">
        <v>16</v>
      </c>
      <c r="AF18" s="22" t="s">
        <v>16</v>
      </c>
      <c r="AI18" s="9"/>
      <c r="AJ18" s="15"/>
      <c r="AK18" s="9"/>
      <c r="AL18" s="51"/>
      <c r="AM18" s="51"/>
      <c r="AN18" s="51"/>
      <c r="AO18" s="51"/>
      <c r="AP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ht="15">
      <c r="A19" s="15"/>
      <c r="B19" s="24" t="s">
        <v>14</v>
      </c>
      <c r="C19" s="50">
        <v>25</v>
      </c>
      <c r="D19" s="41"/>
      <c r="E19" s="102" t="s">
        <v>62</v>
      </c>
      <c r="F19" s="103">
        <v>1.2</v>
      </c>
      <c r="G19" s="21"/>
      <c r="H19" s="20" t="s">
        <v>81</v>
      </c>
      <c r="I19" s="113">
        <v>60000</v>
      </c>
      <c r="J19" s="6" t="s">
        <v>82</v>
      </c>
      <c r="K19" s="17"/>
      <c r="S19" s="43"/>
      <c r="T19" s="43"/>
      <c r="U19" s="15"/>
      <c r="V19" s="15"/>
      <c r="W19" s="15"/>
      <c r="X19" s="15"/>
      <c r="Y19" s="22">
        <v>0</v>
      </c>
      <c r="Z19" s="46">
        <v>0</v>
      </c>
      <c r="AA19" s="48">
        <f t="shared" ref="AA19:AA57" si="0">Z19/12^0.5</f>
        <v>0</v>
      </c>
      <c r="AB19" s="47">
        <v>0</v>
      </c>
      <c r="AC19" s="45">
        <f>C16</f>
        <v>90000</v>
      </c>
      <c r="AD19" s="45">
        <f t="shared" ref="AD19:AD57" si="1">AC19/((AC19/$C$18)+0.002*$C$19*(AC19/$C$17)^$C$19)</f>
        <v>18834.826325804523</v>
      </c>
      <c r="AE19" s="45">
        <f t="shared" ref="AE19:AE57" si="2">$C$17-($C$17^2/(4*PI()^2*$C$18))*Y19^2</f>
        <v>75000</v>
      </c>
      <c r="AF19" s="45"/>
      <c r="AI19" s="9"/>
      <c r="AJ19" s="15">
        <f>(Y28-Y19)/9</f>
        <v>3.7703421051738002</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f t="shared" ref="Y20:Y27" si="3">Y19+$AJ$19</f>
        <v>3.7703421051738002</v>
      </c>
      <c r="Z20" s="46">
        <f t="shared" ref="Z20:Z57" si="4">(PI()^2/AB20)^0.5</f>
        <v>0.15968602801883655</v>
      </c>
      <c r="AA20" s="48">
        <f t="shared" si="0"/>
        <v>4.6097385631248704E-2</v>
      </c>
      <c r="AB20" s="47">
        <f t="shared" ref="AB20:AB57" si="5">(PI()^2*$C$18/Y20^2)/AD20</f>
        <v>387.04896312276503</v>
      </c>
      <c r="AC20" s="45">
        <f>IF((PI()^2*$C$18/Y20^2)&gt;$C$16,$C$16,(PI()^2*$C$18/Y20^2))</f>
        <v>90000</v>
      </c>
      <c r="AD20" s="45">
        <f t="shared" si="1"/>
        <v>18834.826325804523</v>
      </c>
      <c r="AE20" s="45">
        <f t="shared" si="2"/>
        <v>74807.098765432092</v>
      </c>
      <c r="AF20" s="45"/>
      <c r="AG20" s="37"/>
      <c r="AI20" s="9"/>
      <c r="AJ20" s="15">
        <f>C17/2</f>
        <v>37500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A21" s="6" t="s">
        <v>76</v>
      </c>
      <c r="E21" s="6" t="s">
        <v>70</v>
      </c>
      <c r="F21" s="41"/>
      <c r="G21" s="41"/>
      <c r="I21" s="6" t="s">
        <v>79</v>
      </c>
      <c r="J21" s="41"/>
      <c r="K21" s="41"/>
      <c r="S21" s="43"/>
      <c r="T21" s="43"/>
      <c r="U21" s="15"/>
      <c r="V21" s="15"/>
      <c r="W21" s="15"/>
      <c r="X21" s="15"/>
      <c r="Y21" s="45">
        <f t="shared" si="3"/>
        <v>7.5406842103476004</v>
      </c>
      <c r="Z21" s="46">
        <f t="shared" si="4"/>
        <v>0.3193720560376731</v>
      </c>
      <c r="AA21" s="48">
        <f t="shared" si="0"/>
        <v>9.2194771262497408E-2</v>
      </c>
      <c r="AB21" s="47">
        <f t="shared" si="5"/>
        <v>96.762240780691258</v>
      </c>
      <c r="AC21" s="45">
        <f t="shared" ref="AC21:AC57" si="6">IF((PI()^2*$C$18/Y21^2)&gt;$C$16,$C$16,(PI()^2*$C$18/Y21^2))</f>
        <v>90000</v>
      </c>
      <c r="AD21" s="45">
        <f t="shared" si="1"/>
        <v>18834.826325804523</v>
      </c>
      <c r="AE21" s="45">
        <f t="shared" si="2"/>
        <v>74228.395061728399</v>
      </c>
      <c r="AF21" s="45"/>
      <c r="AG21" s="37"/>
      <c r="AI21" s="9"/>
      <c r="AJ21" s="15">
        <f>C16</f>
        <v>90000</v>
      </c>
      <c r="AK21" s="9"/>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20" t="s">
        <v>68</v>
      </c>
      <c r="B22" s="6" t="str">
        <f ca="1">[1]!xlv(B23)</f>
        <v>√[I / A]</v>
      </c>
      <c r="C22" s="19"/>
      <c r="E22" s="20" t="s">
        <v>71</v>
      </c>
      <c r="F22" s="6" t="str">
        <f ca="1">[1]!xlv(F23)</f>
        <v>(L / √[C]) / R</v>
      </c>
      <c r="G22" s="97"/>
      <c r="I22" s="20" t="s">
        <v>69</v>
      </c>
      <c r="J22" s="6" t="str">
        <f ca="1">[1]!xlv(J23)</f>
        <v>√[2 × π² × Ec / Fcy]</v>
      </c>
      <c r="K22" s="21"/>
      <c r="S22" s="43"/>
      <c r="T22" s="43"/>
      <c r="U22" s="15"/>
      <c r="V22" s="18"/>
      <c r="W22" s="18"/>
      <c r="X22" s="18"/>
      <c r="Y22" s="45">
        <f t="shared" si="3"/>
        <v>11.311026315521401</v>
      </c>
      <c r="Z22" s="46">
        <f t="shared" si="4"/>
        <v>0.47905808405650974</v>
      </c>
      <c r="AA22" s="48">
        <f t="shared" si="0"/>
        <v>0.13829215689374613</v>
      </c>
      <c r="AB22" s="47">
        <f t="shared" si="5"/>
        <v>43.005440346973884</v>
      </c>
      <c r="AC22" s="45">
        <f t="shared" si="6"/>
        <v>90000</v>
      </c>
      <c r="AD22" s="45">
        <f t="shared" si="1"/>
        <v>18834.826325804523</v>
      </c>
      <c r="AE22" s="45">
        <f t="shared" si="2"/>
        <v>73263.888888888891</v>
      </c>
      <c r="AF22" s="45"/>
      <c r="AG22" s="37"/>
      <c r="AI22" s="9"/>
      <c r="AJ22" s="15">
        <f>(Y52-Y28)/24</f>
        <v>0.77649253798623585</v>
      </c>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20" t="s">
        <v>68</v>
      </c>
      <c r="B23" s="108">
        <f>SQRT(F18/F17)</f>
        <v>0.71201000730117403</v>
      </c>
      <c r="C23" s="40"/>
      <c r="E23" s="20" t="s">
        <v>71</v>
      </c>
      <c r="F23" s="109">
        <f>(F16/SQRT(F19))/B23</f>
        <v>34.616809925407118</v>
      </c>
      <c r="G23" s="17"/>
      <c r="I23" s="20" t="s">
        <v>69</v>
      </c>
      <c r="J23" s="114">
        <f>SQRT(2*PI()^2*C18/C17)</f>
        <v>52.568899858233863</v>
      </c>
      <c r="K23" s="21"/>
      <c r="S23" s="43"/>
      <c r="T23" s="43"/>
      <c r="U23" s="15"/>
      <c r="V23" s="18"/>
      <c r="W23" s="18"/>
      <c r="X23" s="18"/>
      <c r="Y23" s="45">
        <f t="shared" si="3"/>
        <v>15.081368420695201</v>
      </c>
      <c r="Z23" s="46">
        <f t="shared" si="4"/>
        <v>0.6387441120753462</v>
      </c>
      <c r="AA23" s="48">
        <f t="shared" si="0"/>
        <v>0.18438954252499482</v>
      </c>
      <c r="AB23" s="47">
        <f t="shared" si="5"/>
        <v>24.190560195172814</v>
      </c>
      <c r="AC23" s="45">
        <f t="shared" si="6"/>
        <v>90000</v>
      </c>
      <c r="AD23" s="45">
        <f t="shared" si="1"/>
        <v>18834.826325804523</v>
      </c>
      <c r="AE23" s="45">
        <f t="shared" si="2"/>
        <v>71913.580246913582</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f t="shared" si="3"/>
        <v>18.851710525869002</v>
      </c>
      <c r="Z24" s="46">
        <f t="shared" si="4"/>
        <v>0.79843014009418289</v>
      </c>
      <c r="AA24" s="48">
        <f t="shared" si="0"/>
        <v>0.23048692815624355</v>
      </c>
      <c r="AB24" s="47">
        <f t="shared" si="5"/>
        <v>15.481958524910597</v>
      </c>
      <c r="AC24" s="45">
        <f t="shared" si="6"/>
        <v>90000</v>
      </c>
      <c r="AD24" s="45">
        <f t="shared" si="1"/>
        <v>18834.826325804523</v>
      </c>
      <c r="AE24" s="45">
        <f t="shared" si="2"/>
        <v>70177.469135802472</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45">
        <f t="shared" si="3"/>
        <v>22.622052631042802</v>
      </c>
      <c r="Z25" s="46">
        <f t="shared" si="4"/>
        <v>0.95811616811301947</v>
      </c>
      <c r="AA25" s="48">
        <f t="shared" si="0"/>
        <v>0.27658431378749226</v>
      </c>
      <c r="AB25" s="47">
        <f t="shared" si="5"/>
        <v>10.751360086743471</v>
      </c>
      <c r="AC25" s="45">
        <f t="shared" si="6"/>
        <v>90000</v>
      </c>
      <c r="AD25" s="45">
        <f t="shared" si="1"/>
        <v>18834.826325804523</v>
      </c>
      <c r="AE25" s="45">
        <f t="shared" si="2"/>
        <v>68055.555555555547</v>
      </c>
      <c r="AF25" s="45"/>
      <c r="AG25" s="37"/>
      <c r="AI25" s="9"/>
      <c r="AJ25" s="15"/>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f t="shared" si="3"/>
        <v>26.392394736216602</v>
      </c>
      <c r="Z26" s="46">
        <f t="shared" si="4"/>
        <v>1.1178021961318561</v>
      </c>
      <c r="AA26" s="48">
        <f t="shared" si="0"/>
        <v>0.32268169941874097</v>
      </c>
      <c r="AB26" s="47">
        <f t="shared" si="5"/>
        <v>7.8989584310768368</v>
      </c>
      <c r="AC26" s="45">
        <f t="shared" si="6"/>
        <v>90000</v>
      </c>
      <c r="AD26" s="45">
        <f t="shared" si="1"/>
        <v>18834.826325804523</v>
      </c>
      <c r="AE26" s="45">
        <f t="shared" si="2"/>
        <v>65547.839506172837</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 t="shared" si="3"/>
        <v>30.162736841390402</v>
      </c>
      <c r="Z27" s="46">
        <f t="shared" si="4"/>
        <v>1.2774882241506924</v>
      </c>
      <c r="AA27" s="48">
        <f t="shared" si="0"/>
        <v>0.36877908504998963</v>
      </c>
      <c r="AB27" s="47">
        <f t="shared" si="5"/>
        <v>6.0476400487932036</v>
      </c>
      <c r="AC27" s="45">
        <f t="shared" si="6"/>
        <v>90000</v>
      </c>
      <c r="AD27" s="45">
        <f t="shared" si="1"/>
        <v>18834.826325804523</v>
      </c>
      <c r="AE27" s="45">
        <f t="shared" si="2"/>
        <v>62654.320987654319</v>
      </c>
      <c r="AF27" s="45"/>
      <c r="AG27" s="37"/>
      <c r="AI27" s="9"/>
      <c r="AJ27" s="9"/>
      <c r="AK27" s="9"/>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(PI()^2*MIN(C18)/AJ21)^0.5</f>
        <v>33.933078946564201</v>
      </c>
      <c r="Z28" s="46">
        <f t="shared" si="4"/>
        <v>1.4371742521695354</v>
      </c>
      <c r="AA28" s="48">
        <f t="shared" si="0"/>
        <v>0.41487647068124023</v>
      </c>
      <c r="AB28" s="47">
        <f t="shared" si="5"/>
        <v>4.7783822607748343</v>
      </c>
      <c r="AC28" s="45">
        <f t="shared" si="6"/>
        <v>89999.999999999971</v>
      </c>
      <c r="AD28" s="45">
        <f t="shared" si="1"/>
        <v>18834.826325804686</v>
      </c>
      <c r="AE28" s="45">
        <f t="shared" si="2"/>
        <v>59375</v>
      </c>
      <c r="AF28" s="45">
        <f t="shared" ref="AF28:AF57" si="7">PI()^2*$C$18/Y28^2</f>
        <v>89999.999999999971</v>
      </c>
      <c r="AG28" s="37"/>
      <c r="AI28" s="9"/>
      <c r="AJ28" s="9"/>
      <c r="AK28" s="9"/>
      <c r="AL28" s="18"/>
      <c r="AM28" s="110">
        <f>F23</f>
        <v>34.616809925407118</v>
      </c>
      <c r="AN28" s="18">
        <v>0</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 t="shared" ref="Y29:Y51" si="8">Y28+$AJ$22</f>
        <v>34.709571484550438</v>
      </c>
      <c r="Z29" s="46">
        <f t="shared" si="4"/>
        <v>2.5257827035613052</v>
      </c>
      <c r="AA29" s="48">
        <f t="shared" si="0"/>
        <v>0.72913066190781017</v>
      </c>
      <c r="AB29" s="47">
        <f t="shared" si="5"/>
        <v>1.5470622022608718</v>
      </c>
      <c r="AC29" s="45">
        <f t="shared" si="6"/>
        <v>86018.237646748516</v>
      </c>
      <c r="AD29" s="45">
        <f t="shared" si="1"/>
        <v>55601.020774110919</v>
      </c>
      <c r="AE29" s="45">
        <f t="shared" si="2"/>
        <v>58651.722722162092</v>
      </c>
      <c r="AF29" s="45">
        <f t="shared" si="7"/>
        <v>86018.237646748516</v>
      </c>
      <c r="AG29" s="37"/>
      <c r="AI29" s="9"/>
      <c r="AJ29" s="9"/>
      <c r="AK29" s="9"/>
      <c r="AL29" s="18"/>
      <c r="AM29" s="110">
        <f>F23</f>
        <v>34.616809925407118</v>
      </c>
      <c r="AN29" s="18">
        <f>AN40</f>
        <v>60000</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si="8"/>
        <v>35.486064022536674</v>
      </c>
      <c r="Z30" s="46">
        <f t="shared" si="4"/>
        <v>4.3696399384591587</v>
      </c>
      <c r="AA30" s="48">
        <f t="shared" si="0"/>
        <v>1.2614063973655676</v>
      </c>
      <c r="AB30" s="47">
        <f t="shared" si="5"/>
        <v>0.51690227175135262</v>
      </c>
      <c r="AC30" s="45">
        <f t="shared" si="6"/>
        <v>82294.986999233341</v>
      </c>
      <c r="AD30" s="45">
        <f t="shared" si="1"/>
        <v>159208.01957477175</v>
      </c>
      <c r="AE30" s="45">
        <f t="shared" si="2"/>
        <v>57912.08187428111</v>
      </c>
      <c r="AF30" s="45">
        <f t="shared" si="7"/>
        <v>82294.986999233341</v>
      </c>
      <c r="AG30" s="37"/>
      <c r="AI30" s="9"/>
      <c r="AJ30" s="9"/>
      <c r="AK30" s="9"/>
      <c r="AL30" s="18"/>
      <c r="AM30" s="18">
        <v>0</v>
      </c>
      <c r="AN30" s="18">
        <f>AN40</f>
        <v>60000</v>
      </c>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8"/>
        <v>36.26255656052291</v>
      </c>
      <c r="Z31" s="46">
        <f t="shared" si="4"/>
        <v>7.4050625594778117</v>
      </c>
      <c r="AA31" s="48">
        <f t="shared" si="0"/>
        <v>2.137657431040267</v>
      </c>
      <c r="AB31" s="47">
        <f t="shared" si="5"/>
        <v>0.17998747385285943</v>
      </c>
      <c r="AC31" s="45">
        <f t="shared" si="6"/>
        <v>78808.344777364444</v>
      </c>
      <c r="AD31" s="45">
        <f t="shared" si="1"/>
        <v>437854.60782560136</v>
      </c>
      <c r="AE31" s="45">
        <f t="shared" si="2"/>
        <v>57156.077456357045</v>
      </c>
      <c r="AF31" s="45">
        <f t="shared" si="7"/>
        <v>78808.344777364444</v>
      </c>
      <c r="AG31" s="37"/>
      <c r="AI31" s="9"/>
      <c r="AJ31" s="9"/>
      <c r="AK31" s="9"/>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8"/>
        <v>37.039049098509146</v>
      </c>
      <c r="Z32" s="46">
        <f t="shared" si="4"/>
        <v>12.137910531787679</v>
      </c>
      <c r="AA32" s="48">
        <f t="shared" si="0"/>
        <v>3.5039129564636049</v>
      </c>
      <c r="AB32" s="47">
        <f t="shared" si="5"/>
        <v>6.6990293632909925E-2</v>
      </c>
      <c r="AC32" s="45">
        <f t="shared" si="6"/>
        <v>75538.679288025422</v>
      </c>
      <c r="AD32" s="45">
        <f t="shared" si="1"/>
        <v>1127606.3320748901</v>
      </c>
      <c r="AE32" s="45">
        <f t="shared" si="2"/>
        <v>56383.709468389898</v>
      </c>
      <c r="AF32" s="45">
        <f t="shared" si="7"/>
        <v>75538.679288025422</v>
      </c>
      <c r="AG32" s="37"/>
      <c r="AI32" s="9"/>
      <c r="AJ32" s="9"/>
      <c r="AK32" s="9"/>
      <c r="AL32" s="18"/>
      <c r="AM32" s="110">
        <f>AM28</f>
        <v>34.616809925407118</v>
      </c>
      <c r="AN32" s="18">
        <v>0</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8"/>
        <v>37.815541636495382</v>
      </c>
      <c r="Z33" s="46">
        <f t="shared" si="4"/>
        <v>18.743641167407326</v>
      </c>
      <c r="AA33" s="48">
        <f t="shared" si="0"/>
        <v>5.4108231367981858</v>
      </c>
      <c r="AB33" s="47">
        <f t="shared" si="5"/>
        <v>2.8092592693186764E-2</v>
      </c>
      <c r="AC33" s="45">
        <f t="shared" si="6"/>
        <v>72468.353475989992</v>
      </c>
      <c r="AD33" s="45">
        <f t="shared" si="1"/>
        <v>2579624.9661771371</v>
      </c>
      <c r="AE33" s="45">
        <f t="shared" si="2"/>
        <v>55594.977910379668</v>
      </c>
      <c r="AF33" s="45">
        <f t="shared" si="7"/>
        <v>72468.353475989992</v>
      </c>
      <c r="AG33" s="37"/>
      <c r="AI33" s="9"/>
      <c r="AK33" s="9"/>
      <c r="AL33" s="18"/>
      <c r="AM33" s="110">
        <f>AM29</f>
        <v>34.616809925407118</v>
      </c>
      <c r="AN33" s="110">
        <f>AN40</f>
        <v>60000</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8"/>
        <v>38.592034174481618</v>
      </c>
      <c r="Z34" s="46">
        <f t="shared" si="4"/>
        <v>26.274483088151175</v>
      </c>
      <c r="AA34" s="48">
        <f t="shared" si="0"/>
        <v>7.5847899418811755</v>
      </c>
      <c r="AB34" s="47">
        <f t="shared" si="5"/>
        <v>1.429655449501002E-2</v>
      </c>
      <c r="AC34" s="45">
        <f t="shared" si="6"/>
        <v>69581.486581890873</v>
      </c>
      <c r="AD34" s="45">
        <f t="shared" si="1"/>
        <v>4867010.9015551377</v>
      </c>
      <c r="AE34" s="45">
        <f t="shared" si="2"/>
        <v>54789.882782326356</v>
      </c>
      <c r="AF34" s="45">
        <f t="shared" si="7"/>
        <v>69581.486581890873</v>
      </c>
      <c r="AG34" s="37"/>
      <c r="AI34" s="9"/>
      <c r="AK34" s="9"/>
      <c r="AL34" s="18"/>
      <c r="AM34" s="18">
        <f>AM30</f>
        <v>0</v>
      </c>
      <c r="AN34" s="110">
        <f>AN40</f>
        <v>60000</v>
      </c>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8"/>
        <v>39.368526712467855</v>
      </c>
      <c r="Z35" s="46">
        <f t="shared" si="4"/>
        <v>32.752096634923618</v>
      </c>
      <c r="AA35" s="48">
        <f t="shared" si="0"/>
        <v>9.4547159043488946</v>
      </c>
      <c r="AB35" s="47">
        <f t="shared" si="5"/>
        <v>9.2007140193538228E-3</v>
      </c>
      <c r="AC35" s="45">
        <f t="shared" si="6"/>
        <v>66863.748376818345</v>
      </c>
      <c r="AD35" s="45">
        <f t="shared" si="1"/>
        <v>7267234.7207151065</v>
      </c>
      <c r="AE35" s="45">
        <f t="shared" si="2"/>
        <v>53968.424084229977</v>
      </c>
      <c r="AF35" s="45">
        <f t="shared" si="7"/>
        <v>66863.748376818345</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8"/>
        <v>40.145019250454091</v>
      </c>
      <c r="Z36" s="46">
        <f t="shared" si="4"/>
        <v>37.047669677321622</v>
      </c>
      <c r="AA36" s="48">
        <f t="shared" si="0"/>
        <v>10.694741030524987</v>
      </c>
      <c r="AB36" s="47">
        <f t="shared" si="5"/>
        <v>7.1908123204376707E-3</v>
      </c>
      <c r="AC36" s="45">
        <f t="shared" si="6"/>
        <v>64302.180982495185</v>
      </c>
      <c r="AD36" s="45">
        <f t="shared" si="1"/>
        <v>8942269.4011545852</v>
      </c>
      <c r="AE36" s="45">
        <f t="shared" si="2"/>
        <v>53130.601816090508</v>
      </c>
      <c r="AF36" s="45">
        <f t="shared" si="7"/>
        <v>64302.180982495185</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8"/>
        <v>40.921511788440327</v>
      </c>
      <c r="Z37" s="46">
        <f t="shared" si="4"/>
        <v>39.57045327601292</v>
      </c>
      <c r="AA37" s="48">
        <f t="shared" si="0"/>
        <v>11.423005925430784</v>
      </c>
      <c r="AB37" s="47">
        <f t="shared" si="5"/>
        <v>6.30315076579685E-3</v>
      </c>
      <c r="AC37" s="45">
        <f t="shared" si="6"/>
        <v>61885.044130047114</v>
      </c>
      <c r="AD37" s="45">
        <f t="shared" si="1"/>
        <v>9818112.6280300152</v>
      </c>
      <c r="AE37" s="45">
        <f t="shared" si="2"/>
        <v>52276.415977907949</v>
      </c>
      <c r="AF37" s="45">
        <f t="shared" si="7"/>
        <v>61885.044130047114</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8"/>
        <v>41.698004326426563</v>
      </c>
      <c r="Z38" s="46">
        <f t="shared" si="4"/>
        <v>41.122753831852485</v>
      </c>
      <c r="AA38" s="48">
        <f t="shared" si="0"/>
        <v>11.871116497319374</v>
      </c>
      <c r="AB38" s="47">
        <f t="shared" si="5"/>
        <v>5.8362698685606789E-3</v>
      </c>
      <c r="AC38" s="45">
        <f t="shared" si="6"/>
        <v>59601.680398781478</v>
      </c>
      <c r="AD38" s="45">
        <f t="shared" si="1"/>
        <v>10212289.997049132</v>
      </c>
      <c r="AE38" s="45">
        <f t="shared" si="2"/>
        <v>51405.866569682323</v>
      </c>
      <c r="AF38" s="45">
        <f t="shared" si="7"/>
        <v>59601.680398781478</v>
      </c>
      <c r="AG38" s="37"/>
      <c r="AI38" s="9"/>
      <c r="AJ38" s="9"/>
      <c r="AK38" s="9"/>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8"/>
        <v>42.474496864412799</v>
      </c>
      <c r="Z39" s="46">
        <f t="shared" si="4"/>
        <v>42.229848412450806</v>
      </c>
      <c r="AA39" s="48">
        <f t="shared" si="0"/>
        <v>12.190707174382782</v>
      </c>
      <c r="AB39" s="47">
        <f t="shared" si="5"/>
        <v>5.534274551747642E-3</v>
      </c>
      <c r="AC39" s="45">
        <f t="shared" si="6"/>
        <v>57442.397540114012</v>
      </c>
      <c r="AD39" s="45">
        <f t="shared" si="1"/>
        <v>10379390.650573082</v>
      </c>
      <c r="AE39" s="45">
        <f t="shared" si="2"/>
        <v>50518.953591413607</v>
      </c>
      <c r="AF39" s="45">
        <f t="shared" si="7"/>
        <v>57442.397540114012</v>
      </c>
      <c r="AG39" s="37"/>
      <c r="AI39" s="13"/>
      <c r="AJ39" s="13"/>
      <c r="AK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8"/>
        <v>43.250989402399036</v>
      </c>
      <c r="Z40" s="46">
        <f t="shared" si="4"/>
        <v>43.14605019776328</v>
      </c>
      <c r="AA40" s="48">
        <f t="shared" si="0"/>
        <v>12.455191848073868</v>
      </c>
      <c r="AB40" s="47">
        <f t="shared" si="5"/>
        <v>5.3017306081919527E-3</v>
      </c>
      <c r="AC40" s="45">
        <f t="shared" si="6"/>
        <v>55398.365455236686</v>
      </c>
      <c r="AD40" s="45">
        <f t="shared" si="1"/>
        <v>10449109.837764686</v>
      </c>
      <c r="AE40" s="45">
        <f t="shared" si="2"/>
        <v>49615.677043101816</v>
      </c>
      <c r="AF40" s="45">
        <f t="shared" si="7"/>
        <v>55398.365455236686</v>
      </c>
      <c r="AG40" s="37"/>
      <c r="AI40" s="9">
        <f>MATCH(F23,Z19:Z57)</f>
        <v>17</v>
      </c>
      <c r="AJ40" s="13">
        <f>INDEX(Z19:Z57,AI40)</f>
        <v>32.752096634923618</v>
      </c>
      <c r="AK40" s="13">
        <f>INDEX(AC19:AC57,AI40)</f>
        <v>66863.748376818345</v>
      </c>
      <c r="AM40" s="110">
        <f>AM33</f>
        <v>34.616809925407118</v>
      </c>
      <c r="AN40" s="18">
        <f>MIN(((AK41-AK40)*(F23-AJ40)/(AJ41-AJ40))+AK40,I19)</f>
        <v>60000</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44.027481940385272</v>
      </c>
      <c r="Z41" s="46">
        <f t="shared" si="4"/>
        <v>43.98191610451137</v>
      </c>
      <c r="AA41" s="48">
        <f t="shared" si="0"/>
        <v>12.696485551207589</v>
      </c>
      <c r="AB41" s="47">
        <f t="shared" si="5"/>
        <v>5.1021292217231758E-3</v>
      </c>
      <c r="AC41" s="45">
        <f t="shared" si="6"/>
        <v>53461.525777574148</v>
      </c>
      <c r="AD41" s="45">
        <f t="shared" si="1"/>
        <v>10478277.490494102</v>
      </c>
      <c r="AE41" s="45">
        <f t="shared" si="2"/>
        <v>48696.036924746935</v>
      </c>
      <c r="AF41" s="45">
        <f t="shared" si="7"/>
        <v>53461.525777574148</v>
      </c>
      <c r="AG41" s="37"/>
      <c r="AI41" s="9">
        <f>AI40+1</f>
        <v>18</v>
      </c>
      <c r="AJ41" s="13">
        <f>IF(AI41&gt;39,F23,INDEX(Z19:Z57,AI41))</f>
        <v>37.047669677321622</v>
      </c>
      <c r="AK41" s="13">
        <f>IF(AI41&gt;39,D55,INDEX(AC19:AC57,AI41))</f>
        <v>64302.180982495185</v>
      </c>
      <c r="AM41" s="18">
        <f>AM34</f>
        <v>0</v>
      </c>
      <c r="AN41" s="18">
        <f>AN40</f>
        <v>60000</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8"/>
        <v>44.803974478371508</v>
      </c>
      <c r="Z42" s="46">
        <f t="shared" si="4"/>
        <v>44.783922107849584</v>
      </c>
      <c r="AA42" s="48">
        <f t="shared" si="0"/>
        <v>12.928004742167095</v>
      </c>
      <c r="AB42" s="47">
        <f t="shared" si="5"/>
        <v>4.9210241219370728E-3</v>
      </c>
      <c r="AC42" s="45">
        <f t="shared" si="6"/>
        <v>51624.512327838027</v>
      </c>
      <c r="AD42" s="45">
        <f t="shared" si="1"/>
        <v>10490603.388368875</v>
      </c>
      <c r="AE42" s="45">
        <f t="shared" si="2"/>
        <v>47760.033236348987</v>
      </c>
      <c r="AF42" s="45">
        <f t="shared" si="7"/>
        <v>51624.512327838027</v>
      </c>
      <c r="AG42" s="37"/>
      <c r="AI42" s="13"/>
      <c r="AJ42" s="13"/>
      <c r="AK42" s="1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8"/>
        <v>45.580467016357744</v>
      </c>
      <c r="Z43" s="46">
        <f t="shared" si="4"/>
        <v>45.571521514605855</v>
      </c>
      <c r="AA43" s="48">
        <f t="shared" si="0"/>
        <v>13.155365106919257</v>
      </c>
      <c r="AB43" s="47">
        <f t="shared" si="5"/>
        <v>4.7523967237589381E-3</v>
      </c>
      <c r="AC43" s="45">
        <f t="shared" si="6"/>
        <v>49880.580972757904</v>
      </c>
      <c r="AD43" s="45">
        <f t="shared" si="1"/>
        <v>10495879.000039488</v>
      </c>
      <c r="AE43" s="45">
        <f t="shared" si="2"/>
        <v>46807.665977907949</v>
      </c>
      <c r="AF43" s="45">
        <f t="shared" si="7"/>
        <v>49880.580972757904</v>
      </c>
      <c r="AG43" s="37"/>
      <c r="AI43" s="13"/>
      <c r="AJ43" s="13"/>
      <c r="AK43" s="13"/>
      <c r="AL43" s="18"/>
      <c r="AM43" s="6">
        <v>0</v>
      </c>
      <c r="AN43" s="6">
        <f>I19</f>
        <v>60000</v>
      </c>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8"/>
        <v>46.35695955434398</v>
      </c>
      <c r="Z44" s="46">
        <f t="shared" si="4"/>
        <v>46.35291495424493</v>
      </c>
      <c r="AA44" s="48">
        <f t="shared" si="0"/>
        <v>13.38093396327857</v>
      </c>
      <c r="AB44" s="47">
        <f t="shared" si="5"/>
        <v>4.5935203481677258E-3</v>
      </c>
      <c r="AC44" s="45">
        <f t="shared" si="6"/>
        <v>48223.547638117721</v>
      </c>
      <c r="AD44" s="45">
        <f t="shared" si="1"/>
        <v>10498167.850144224</v>
      </c>
      <c r="AE44" s="45">
        <f t="shared" si="2"/>
        <v>45838.935149423836</v>
      </c>
      <c r="AF44" s="45">
        <f t="shared" si="7"/>
        <v>48223.547638117721</v>
      </c>
      <c r="AG44" s="37"/>
      <c r="AI44" s="13"/>
      <c r="AJ44" s="13"/>
      <c r="AK44" s="13"/>
      <c r="AL44" s="18"/>
      <c r="AM44" s="6">
        <v>120</v>
      </c>
      <c r="AN44" s="6">
        <f>I19</f>
        <v>60000</v>
      </c>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8"/>
        <v>47.133452092330216</v>
      </c>
      <c r="Z45" s="46">
        <f t="shared" si="4"/>
        <v>47.131599267006727</v>
      </c>
      <c r="AA45" s="48">
        <f t="shared" si="0"/>
        <v>13.605720762071952</v>
      </c>
      <c r="AB45" s="47">
        <f t="shared" si="5"/>
        <v>4.4429905799931897E-3</v>
      </c>
      <c r="AC45" s="45">
        <f t="shared" si="6"/>
        <v>46647.733410412002</v>
      </c>
      <c r="AD45" s="45">
        <f t="shared" si="1"/>
        <v>10499174.502072319</v>
      </c>
      <c r="AE45" s="45">
        <f t="shared" si="2"/>
        <v>44853.840750896634</v>
      </c>
      <c r="AF45" s="45">
        <f t="shared" si="7"/>
        <v>46647.733410412002</v>
      </c>
      <c r="AG45" s="37"/>
      <c r="AH45" s="13"/>
      <c r="AI45" s="13"/>
      <c r="AJ45" s="31"/>
      <c r="AK45" s="6"/>
      <c r="AO45" s="2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8"/>
        <v>47.909944630316453</v>
      </c>
      <c r="Z46" s="46">
        <f t="shared" si="4"/>
        <v>47.909084990226773</v>
      </c>
      <c r="AA46" s="48">
        <f t="shared" si="0"/>
        <v>13.830161557868044</v>
      </c>
      <c r="AB46" s="47">
        <f t="shared" si="5"/>
        <v>4.2999558116329165E-3</v>
      </c>
      <c r="AC46" s="45">
        <f t="shared" si="6"/>
        <v>45147.915815597989</v>
      </c>
      <c r="AD46" s="45">
        <f t="shared" si="1"/>
        <v>10499623.203907525</v>
      </c>
      <c r="AE46" s="45">
        <f t="shared" si="2"/>
        <v>43852.382782326356</v>
      </c>
      <c r="AF46" s="45">
        <f t="shared" si="7"/>
        <v>45147.915815597989</v>
      </c>
      <c r="AG46" s="37"/>
      <c r="AH46" s="13"/>
      <c r="AI46" s="13"/>
      <c r="AJ46" s="31"/>
      <c r="AK46" s="6"/>
      <c r="AO46" s="17"/>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8"/>
        <v>48.686437168302689</v>
      </c>
      <c r="Z47" s="46">
        <f t="shared" si="4"/>
        <v>48.686033380078079</v>
      </c>
      <c r="AA47" s="48">
        <f t="shared" si="0"/>
        <v>14.054447238881593</v>
      </c>
      <c r="AB47" s="47">
        <f t="shared" si="5"/>
        <v>4.1638105416229015E-3</v>
      </c>
      <c r="AC47" s="45">
        <f t="shared" si="6"/>
        <v>43719.285493195297</v>
      </c>
      <c r="AD47" s="45">
        <f t="shared" si="1"/>
        <v>10499825.834091652</v>
      </c>
      <c r="AE47" s="45">
        <f t="shared" si="2"/>
        <v>42834.561243713004</v>
      </c>
      <c r="AF47" s="45">
        <f t="shared" si="7"/>
        <v>43719.285493195297</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8"/>
        <v>49.462929706288925</v>
      </c>
      <c r="Z48" s="46">
        <f t="shared" si="4"/>
        <v>49.462737759893614</v>
      </c>
      <c r="AA48" s="48">
        <f t="shared" si="0"/>
        <v>14.278662480265224</v>
      </c>
      <c r="AB48" s="47">
        <f t="shared" si="5"/>
        <v>4.0340701276875375E-3</v>
      </c>
      <c r="AC48" s="45">
        <f t="shared" si="6"/>
        <v>42357.40759355123</v>
      </c>
      <c r="AD48" s="45">
        <f t="shared" si="1"/>
        <v>10499918.507324487</v>
      </c>
      <c r="AE48" s="45">
        <f t="shared" si="2"/>
        <v>41800.376135056562</v>
      </c>
      <c r="AF48" s="45">
        <f t="shared" si="7"/>
        <v>42357.40759355123</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8"/>
        <v>50.239422244275161</v>
      </c>
      <c r="Z49" s="46">
        <f t="shared" si="4"/>
        <v>50.23932993705241</v>
      </c>
      <c r="AA49" s="48">
        <f t="shared" si="0"/>
        <v>14.502845331531818</v>
      </c>
      <c r="AB49" s="47">
        <f t="shared" si="5"/>
        <v>3.910317923380772E-3</v>
      </c>
      <c r="AC49" s="45">
        <f t="shared" si="6"/>
        <v>41058.187318855082</v>
      </c>
      <c r="AD49" s="45">
        <f t="shared" si="1"/>
        <v>10499961.415760566</v>
      </c>
      <c r="AE49" s="45">
        <f t="shared" si="2"/>
        <v>40749.827456357038</v>
      </c>
      <c r="AF49" s="45">
        <f t="shared" si="7"/>
        <v>41058.187318855082</v>
      </c>
      <c r="AG49" s="37"/>
      <c r="AH49" s="13"/>
      <c r="AI49" s="1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8"/>
        <v>51.015914782261397</v>
      </c>
      <c r="Z50" s="46">
        <f t="shared" si="4"/>
        <v>51.01586989042972</v>
      </c>
      <c r="AA50" s="48">
        <f t="shared" si="0"/>
        <v>14.727013107091262</v>
      </c>
      <c r="AB50" s="47">
        <f t="shared" si="5"/>
        <v>3.7921818269845589E-3</v>
      </c>
      <c r="AC50" s="45">
        <f t="shared" si="6"/>
        <v>39817.839107241103</v>
      </c>
      <c r="AD50" s="45">
        <f t="shared" si="1"/>
        <v>10499981.520902751</v>
      </c>
      <c r="AE50" s="45">
        <f t="shared" si="2"/>
        <v>39682.915207614438</v>
      </c>
      <c r="AF50" s="45">
        <f t="shared" si="7"/>
        <v>39817.839107241103</v>
      </c>
      <c r="AG50" s="37"/>
      <c r="AH50" s="13"/>
      <c r="AI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8"/>
        <v>51.792407320247634</v>
      </c>
      <c r="Z51" s="46">
        <f t="shared" si="4"/>
        <v>51.792385248946992</v>
      </c>
      <c r="AA51" s="48">
        <f t="shared" si="0"/>
        <v>14.951173782726174</v>
      </c>
      <c r="AB51" s="47">
        <f t="shared" si="5"/>
        <v>3.6793230431538281E-3</v>
      </c>
      <c r="AC51" s="45">
        <f t="shared" si="6"/>
        <v>38632.859026358732</v>
      </c>
      <c r="AD51" s="45">
        <f t="shared" si="1"/>
        <v>10499991.050865587</v>
      </c>
      <c r="AE51" s="45">
        <f t="shared" si="2"/>
        <v>38599.639388828757</v>
      </c>
      <c r="AF51" s="45">
        <f t="shared" si="7"/>
        <v>38632.859026358732</v>
      </c>
      <c r="AG51" s="37"/>
      <c r="AH51" s="13"/>
      <c r="AI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(PI()^2*C18/AJ20)^0.5</f>
        <v>52.568899858233863</v>
      </c>
      <c r="Z52" s="46">
        <f t="shared" si="4"/>
        <v>52.568888891510184</v>
      </c>
      <c r="AA52" s="48">
        <f t="shared" si="0"/>
        <v>15.175331076256468</v>
      </c>
      <c r="AB52" s="47">
        <f t="shared" si="5"/>
        <v>3.5714300615446912E-3</v>
      </c>
      <c r="AC52" s="45">
        <f t="shared" si="6"/>
        <v>37500</v>
      </c>
      <c r="AD52" s="45">
        <f t="shared" si="1"/>
        <v>10499995.619060436</v>
      </c>
      <c r="AE52" s="45">
        <f t="shared" si="2"/>
        <v>37500</v>
      </c>
      <c r="AF52" s="45">
        <f t="shared" si="7"/>
        <v>37500</v>
      </c>
      <c r="AG52" s="37"/>
      <c r="AH52" s="13"/>
      <c r="AI52" s="13"/>
    </row>
    <row r="53" spans="1:75" s="5" customFormat="1">
      <c r="A53" s="21" t="s">
        <v>72</v>
      </c>
      <c r="B53" s="21"/>
      <c r="D53" s="30" t="s">
        <v>73</v>
      </c>
      <c r="H53" s="30" t="s">
        <v>74</v>
      </c>
      <c r="K53" s="15"/>
      <c r="L53" s="1"/>
      <c r="M53" s="7"/>
      <c r="N53" s="7"/>
      <c r="O53" s="7"/>
      <c r="P53" s="7"/>
      <c r="Q53" s="7"/>
      <c r="R53" s="7"/>
      <c r="S53" s="43"/>
      <c r="T53" s="43"/>
      <c r="U53" s="13"/>
      <c r="W53" s="35"/>
      <c r="X53" s="35"/>
      <c r="Y53" s="45">
        <f>Y52+7.5</f>
        <v>60.068899858233863</v>
      </c>
      <c r="Z53" s="46">
        <f t="shared" si="4"/>
        <v>60.06889983744648</v>
      </c>
      <c r="AA53" s="48">
        <f t="shared" si="0"/>
        <v>17.340397745537196</v>
      </c>
      <c r="AB53" s="47">
        <f t="shared" si="5"/>
        <v>2.7352711798567307E-3</v>
      </c>
      <c r="AC53" s="45">
        <f t="shared" si="6"/>
        <v>28720.3473686178</v>
      </c>
      <c r="AD53" s="45">
        <f t="shared" si="1"/>
        <v>10499999.99273276</v>
      </c>
      <c r="AE53" s="45">
        <f t="shared" si="2"/>
        <v>26036.455724188636</v>
      </c>
      <c r="AF53" s="45">
        <f t="shared" si="7"/>
        <v>28720.3473686178</v>
      </c>
      <c r="AG53" s="37"/>
      <c r="AH53" s="13"/>
      <c r="AI53" s="13"/>
    </row>
    <row r="54" spans="1:75" s="5" customFormat="1">
      <c r="A54" s="6" t="str">
        <f ca="1">[1]!xlv(A55)</f>
        <v>(π² × Ec) / (S)²</v>
      </c>
      <c r="B54" s="6"/>
      <c r="C54" s="15"/>
      <c r="D54" s="6" t="str">
        <f ca="1">[1]!xlv(D55)</f>
        <v>Fcy - (Fcy² / (4 × π² × Ec)) × (S)²</v>
      </c>
      <c r="E54" s="6"/>
      <c r="F54" s="15"/>
      <c r="G54" s="15"/>
      <c r="H54" s="49">
        <f>MIN(AN40,I19)</f>
        <v>60000</v>
      </c>
      <c r="I54" s="111" t="str">
        <f>IF(H54="","","psi")</f>
        <v>psi</v>
      </c>
      <c r="J54" s="15"/>
      <c r="K54" s="15"/>
      <c r="L54" s="1"/>
      <c r="M54" s="7"/>
      <c r="N54" s="7"/>
      <c r="O54" s="7"/>
      <c r="P54" s="7"/>
      <c r="Q54" s="7"/>
      <c r="R54" s="7"/>
      <c r="S54" s="43"/>
      <c r="T54" s="43"/>
      <c r="U54" s="13"/>
      <c r="W54" s="35"/>
      <c r="X54" s="35"/>
      <c r="Y54" s="45">
        <f>Y53+7.5</f>
        <v>67.568899858233863</v>
      </c>
      <c r="Z54" s="46">
        <f t="shared" si="4"/>
        <v>67.568899858151411</v>
      </c>
      <c r="AA54" s="48">
        <f t="shared" si="0"/>
        <v>19.505461260975292</v>
      </c>
      <c r="AB54" s="47">
        <f t="shared" si="5"/>
        <v>2.1617528967164778E-3</v>
      </c>
      <c r="AC54" s="45">
        <f t="shared" si="6"/>
        <v>22698.40541546762</v>
      </c>
      <c r="AD54" s="45">
        <f t="shared" si="1"/>
        <v>10499999.999974374</v>
      </c>
      <c r="AE54" s="45">
        <f t="shared" si="2"/>
        <v>13046.308793051874</v>
      </c>
      <c r="AF54" s="45">
        <f t="shared" si="7"/>
        <v>22698.40541546762</v>
      </c>
      <c r="AG54" s="37"/>
      <c r="AH54" s="13"/>
      <c r="AI54" s="13"/>
    </row>
    <row r="55" spans="1:75" s="5" customFormat="1">
      <c r="A55" s="37">
        <f>(PI()^2*C18)/(F23)^2</f>
        <v>86479.855955351843</v>
      </c>
      <c r="B55" s="111" t="str">
        <f>IF(A55="","","psi")</f>
        <v>psi</v>
      </c>
      <c r="C55" s="112"/>
      <c r="D55" s="37">
        <f>C17-(C17^2/(4*PI()^2*C18))*(F23)^2</f>
        <v>58738.9877160986</v>
      </c>
      <c r="E55" s="111" t="str">
        <f>IF(D55="","","psi")</f>
        <v>psi</v>
      </c>
      <c r="F55" s="112"/>
      <c r="G55" s="49"/>
      <c r="H55" s="49">
        <f>H54*F17</f>
        <v>30180</v>
      </c>
      <c r="I55" s="15" t="s">
        <v>75</v>
      </c>
      <c r="J55" s="15"/>
      <c r="K55" s="15"/>
      <c r="L55" s="1"/>
      <c r="M55" s="7"/>
      <c r="N55" s="7"/>
      <c r="O55" s="7"/>
      <c r="P55" s="7"/>
      <c r="Q55" s="7"/>
      <c r="R55" s="7"/>
      <c r="S55" s="43"/>
      <c r="T55" s="43"/>
      <c r="U55" s="13"/>
      <c r="W55" s="35"/>
      <c r="X55" s="35"/>
      <c r="Y55" s="45">
        <f>Y54+10</f>
        <v>77.568899858233863</v>
      </c>
      <c r="Z55" s="46">
        <f t="shared" si="4"/>
        <v>77.568899858233749</v>
      </c>
      <c r="AA55" s="48">
        <f t="shared" si="0"/>
        <v>22.39221260694719</v>
      </c>
      <c r="AB55" s="47">
        <f t="shared" si="5"/>
        <v>1.6403045191563336E-3</v>
      </c>
      <c r="AC55" s="45">
        <f t="shared" si="6"/>
        <v>17223.197451141448</v>
      </c>
      <c r="AD55" s="45">
        <f t="shared" si="1"/>
        <v>10499999.999999966</v>
      </c>
      <c r="AE55" s="45">
        <f t="shared" si="2"/>
        <v>-6648.6023567477678</v>
      </c>
      <c r="AF55" s="45">
        <f t="shared" si="7"/>
        <v>17223.197451141448</v>
      </c>
      <c r="AG55" s="37"/>
      <c r="AH55" s="9"/>
      <c r="AI55" s="9"/>
    </row>
    <row r="56" spans="1:75" s="5" customFormat="1">
      <c r="A56" s="49"/>
      <c r="B56" s="30"/>
      <c r="D56" s="49"/>
      <c r="E56" s="15"/>
      <c r="F56" s="24"/>
      <c r="G56" s="30"/>
      <c r="J56" s="15"/>
      <c r="K56" s="15"/>
      <c r="L56" s="1"/>
      <c r="M56" s="7"/>
      <c r="N56" s="7"/>
      <c r="O56" s="7"/>
      <c r="P56" s="7"/>
      <c r="Q56" s="7"/>
      <c r="R56" s="7"/>
      <c r="S56" s="43"/>
      <c r="T56" s="43"/>
      <c r="U56" s="13"/>
      <c r="W56" s="35"/>
      <c r="X56" s="35"/>
      <c r="Y56" s="45">
        <f>Y55+20</f>
        <v>97.568899858233863</v>
      </c>
      <c r="Z56" s="46">
        <f t="shared" si="4"/>
        <v>97.568899858233863</v>
      </c>
      <c r="AA56" s="48">
        <f t="shared" si="0"/>
        <v>28.16571529884348</v>
      </c>
      <c r="AB56" s="47">
        <f t="shared" si="5"/>
        <v>1.0367568874063609E-3</v>
      </c>
      <c r="AC56" s="45">
        <f t="shared" si="6"/>
        <v>10885.94731776679</v>
      </c>
      <c r="AD56" s="45">
        <f t="shared" si="1"/>
        <v>10500000</v>
      </c>
      <c r="AE56" s="45">
        <f t="shared" si="2"/>
        <v>-54180.305484749202</v>
      </c>
      <c r="AF56" s="45">
        <f t="shared" si="7"/>
        <v>10885.94731776679</v>
      </c>
      <c r="AG56" s="37"/>
      <c r="AH56" s="9"/>
      <c r="AI56" s="9"/>
    </row>
    <row r="57" spans="1:75" s="5" customFormat="1">
      <c r="A57" s="15"/>
      <c r="D57" s="15"/>
      <c r="E57" s="15"/>
      <c r="F57" s="15"/>
      <c r="G57" s="29"/>
      <c r="H57" s="15"/>
      <c r="I57" s="15"/>
      <c r="J57" s="24" t="str">
        <f>"M.S = "&amp;[1]!xln(K57)&amp;" ="</f>
        <v>M.S = 30180 / 5600 - 1 =</v>
      </c>
      <c r="K57" s="115">
        <f>H55/I16-1</f>
        <v>4.3892857142857142</v>
      </c>
      <c r="L57" s="1"/>
      <c r="M57" s="7"/>
      <c r="N57" s="7"/>
      <c r="O57" s="7"/>
      <c r="P57" s="7"/>
      <c r="Q57" s="7"/>
      <c r="R57" s="7"/>
      <c r="S57" s="43"/>
      <c r="T57" s="43"/>
      <c r="U57" s="13"/>
      <c r="W57" s="35"/>
      <c r="X57" s="35"/>
      <c r="Y57" s="45">
        <f>Y56+20</f>
        <v>117.56889985823386</v>
      </c>
      <c r="Z57" s="46">
        <f t="shared" si="4"/>
        <v>117.56889985823386</v>
      </c>
      <c r="AA57" s="48">
        <f t="shared" si="0"/>
        <v>33.939217990739742</v>
      </c>
      <c r="AB57" s="47">
        <f t="shared" si="5"/>
        <v>7.1402733267154461E-4</v>
      </c>
      <c r="AC57" s="45">
        <f t="shared" si="6"/>
        <v>7497.2869930512179</v>
      </c>
      <c r="AD57" s="45">
        <f t="shared" si="1"/>
        <v>10500000</v>
      </c>
      <c r="AE57" s="45">
        <f t="shared" si="2"/>
        <v>-112567.84971728682</v>
      </c>
      <c r="AF57" s="45">
        <f t="shared" si="7"/>
        <v>7497.2869930512179</v>
      </c>
      <c r="AG57" s="37"/>
      <c r="AH57" s="9"/>
      <c r="AI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B59" s="80"/>
      <c r="C59" s="29"/>
      <c r="D59" s="16"/>
      <c r="E59" s="16"/>
      <c r="F59" s="81" t="s">
        <v>52</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75" s="5" customFormat="1">
      <c r="A60" s="15"/>
      <c r="B60" s="16"/>
      <c r="C60" s="16"/>
      <c r="D60" s="16"/>
      <c r="E60" s="16"/>
      <c r="F60" s="91" t="s">
        <v>49</v>
      </c>
      <c r="G60" s="16"/>
      <c r="H60" s="16"/>
      <c r="I60" s="16"/>
      <c r="J60" s="16"/>
      <c r="K60" s="15"/>
      <c r="L60" s="8"/>
      <c r="M60" s="7"/>
      <c r="N60" s="7"/>
      <c r="O60" s="7"/>
      <c r="P60" s="7"/>
      <c r="Q60" s="7"/>
      <c r="R60" s="7"/>
      <c r="S60" s="43"/>
      <c r="T60" s="43"/>
      <c r="U60" s="13"/>
      <c r="W60" s="35"/>
      <c r="X60" s="35"/>
      <c r="Y60" s="35"/>
      <c r="Z60" s="35"/>
      <c r="AA60" s="35"/>
      <c r="AB60" s="35"/>
      <c r="AF60" s="18"/>
      <c r="AG60" s="18"/>
    </row>
    <row r="61" spans="1:75">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mergeCells count="1">
    <mergeCell ref="B13:K13"/>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2016-10-03T18:08:22Z</dcterms:modified>
  <cp:category>Engineering Spreadsheets</cp:category>
</cp:coreProperties>
</file>