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X55" i="41" l="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c r="Z50" i="41"/>
  <c r="Z51" i="41"/>
  <c r="Z52" i="41"/>
  <c r="Z53" i="41"/>
  <c r="G21" i="41" l="1"/>
  <c r="G26" i="41" l="1"/>
  <c r="Z22" i="41"/>
  <c r="B34" i="41"/>
  <c r="AA22" i="41"/>
  <c r="Y22" i="41"/>
  <c r="B31" i="41"/>
  <c r="G30" i="41"/>
  <c r="B25" i="41"/>
  <c r="B27" i="41"/>
  <c r="Y16" i="41"/>
  <c r="B24" i="41"/>
  <c r="X1" i="41" l="1"/>
  <c r="G1" i="41" s="1"/>
  <c r="J10" i="41" s="1"/>
  <c r="X2" i="41"/>
  <c r="X3" i="41"/>
  <c r="X4" i="41"/>
  <c r="X5" i="41"/>
  <c r="X6" i="41"/>
  <c r="X7" i="41"/>
  <c r="F8" i="41"/>
  <c r="J8" i="41"/>
  <c r="F9" i="41"/>
  <c r="J9" i="41"/>
  <c r="F10" i="41"/>
  <c r="L10" i="41"/>
  <c r="F11" i="41"/>
  <c r="B12" i="41"/>
  <c r="W18" i="41"/>
  <c r="Z18" i="41"/>
  <c r="AB18" i="41"/>
  <c r="AC18" i="41"/>
  <c r="X23" i="41"/>
  <c r="Z23" i="41" l="1"/>
  <c r="AA23" i="41"/>
  <c r="Y23" i="41"/>
  <c r="X24" i="41"/>
  <c r="Y24" i="41" l="1"/>
  <c r="AA24" i="41"/>
  <c r="X25" i="41"/>
  <c r="X26" i="41"/>
  <c r="X27" i="41"/>
  <c r="G25" i="41"/>
  <c r="B26" i="41"/>
  <c r="G24" i="41"/>
  <c r="AA27" i="41" l="1"/>
  <c r="Y27" i="41"/>
  <c r="AA25" i="41"/>
  <c r="Y25" i="41"/>
  <c r="AA26" i="41"/>
  <c r="Y26" i="41"/>
  <c r="AA18" i="41"/>
  <c r="X18" i="41"/>
  <c r="X28" i="41"/>
  <c r="B33" i="41"/>
  <c r="B32" i="41"/>
  <c r="AA28" i="41" l="1"/>
  <c r="Y28" i="41"/>
  <c r="AC22" i="41" a="1"/>
  <c r="AC38" i="41" s="1"/>
  <c r="X29" i="41"/>
  <c r="X30" i="41"/>
  <c r="X31" i="41"/>
  <c r="X32" i="41"/>
  <c r="X33" i="41"/>
  <c r="X34" i="41"/>
  <c r="X35" i="41"/>
  <c r="X36" i="41"/>
  <c r="X37" i="41"/>
  <c r="X38" i="41"/>
  <c r="X39" i="41"/>
  <c r="X40" i="41"/>
  <c r="X41" i="41"/>
  <c r="X42" i="41"/>
  <c r="X43" i="41"/>
  <c r="X44" i="41"/>
  <c r="X45" i="41"/>
  <c r="X46" i="41"/>
  <c r="X47" i="41"/>
  <c r="X48" i="41"/>
  <c r="X49" i="41"/>
  <c r="X50" i="41"/>
  <c r="X51" i="41"/>
  <c r="X52" i="41"/>
  <c r="X53" i="41"/>
  <c r="G28" i="41"/>
  <c r="G29" i="41"/>
  <c r="B30" i="41"/>
  <c r="B29" i="41"/>
  <c r="Z55" i="41" l="1"/>
  <c r="Y55" i="41"/>
  <c r="AA55" i="41"/>
  <c r="AA33" i="41"/>
  <c r="Y33" i="41"/>
  <c r="AA48" i="41"/>
  <c r="Y48" i="41"/>
  <c r="Y40" i="41"/>
  <c r="AA40" i="41"/>
  <c r="Y41" i="41"/>
  <c r="AA41" i="41"/>
  <c r="Y47" i="41"/>
  <c r="AA47" i="41"/>
  <c r="Y31" i="41"/>
  <c r="AA31" i="41"/>
  <c r="AA30" i="41"/>
  <c r="Y30" i="41"/>
  <c r="Y49" i="41"/>
  <c r="AA49" i="41"/>
  <c r="AA39" i="41"/>
  <c r="Y39" i="41"/>
  <c r="AA46" i="41"/>
  <c r="Y46" i="41"/>
  <c r="Y38" i="41"/>
  <c r="AA38" i="41"/>
  <c r="Y53" i="41"/>
  <c r="AA53" i="41"/>
  <c r="Y45" i="41"/>
  <c r="AA45" i="41"/>
  <c r="AA37" i="41"/>
  <c r="Y37" i="41"/>
  <c r="AA29" i="41"/>
  <c r="Y29" i="41"/>
  <c r="AD38" i="41"/>
  <c r="Y51" i="41"/>
  <c r="AA51" i="41"/>
  <c r="Y43" i="41"/>
  <c r="AA43" i="41"/>
  <c r="AA35" i="41"/>
  <c r="Y35" i="41"/>
  <c r="Y52" i="41"/>
  <c r="AA52" i="41"/>
  <c r="Y44" i="41"/>
  <c r="AA44" i="41"/>
  <c r="Y36" i="41"/>
  <c r="AA36" i="41"/>
  <c r="AA50" i="41"/>
  <c r="Y50" i="41"/>
  <c r="Y42" i="41"/>
  <c r="AA42" i="41"/>
  <c r="Y34" i="41"/>
  <c r="AA34" i="41"/>
  <c r="Y32" i="41"/>
  <c r="AA32" i="41"/>
  <c r="AC37" i="41"/>
  <c r="AD37" i="41" s="1"/>
  <c r="AC36" i="41"/>
  <c r="AD36" i="41" s="1"/>
  <c r="AC52" i="41"/>
  <c r="AD52" i="41" s="1"/>
  <c r="AE38" i="41"/>
  <c r="AC35" i="41"/>
  <c r="AD35" i="41" s="1"/>
  <c r="Y18" i="41"/>
  <c r="AC51" i="41"/>
  <c r="AD51" i="41" s="1"/>
  <c r="AC50" i="41"/>
  <c r="AD50" i="41" s="1"/>
  <c r="AC49" i="41"/>
  <c r="AD49" i="41" s="1"/>
  <c r="AC48" i="41"/>
  <c r="AD48" i="41" s="1"/>
  <c r="AC47" i="41"/>
  <c r="AD47" i="41" s="1"/>
  <c r="AC46" i="41"/>
  <c r="AD46" i="41" s="1"/>
  <c r="AC34" i="41"/>
  <c r="AD34" i="41" s="1"/>
  <c r="AC33" i="41"/>
  <c r="AD33" i="41" s="1"/>
  <c r="AC32" i="41"/>
  <c r="AC31" i="41"/>
  <c r="AD31" i="41" s="1"/>
  <c r="AC30" i="41"/>
  <c r="AD30" i="41" s="1"/>
  <c r="AC45" i="41"/>
  <c r="AD45" i="41" s="1"/>
  <c r="AC44" i="41"/>
  <c r="AD44" i="41" s="1"/>
  <c r="AC43" i="41"/>
  <c r="AD43" i="41" s="1"/>
  <c r="AC29" i="41"/>
  <c r="AD29" i="41" s="1"/>
  <c r="AC42" i="41"/>
  <c r="AD42" i="41" s="1"/>
  <c r="AC41" i="41"/>
  <c r="AD41" i="41" s="1"/>
  <c r="AC40" i="41"/>
  <c r="AD40" i="41" s="1"/>
  <c r="AC39" i="41"/>
  <c r="AD39" i="41" s="1"/>
  <c r="AC55" i="41"/>
  <c r="AC53" i="41"/>
  <c r="AD53" i="41" s="1"/>
  <c r="AC54" i="41"/>
  <c r="AD18" i="41"/>
  <c r="AC22" i="41"/>
  <c r="AD22" i="41" s="1"/>
  <c r="AC23" i="41"/>
  <c r="AD23" i="41" s="1"/>
  <c r="AC24" i="41"/>
  <c r="AD24" i="41" s="1"/>
  <c r="AC26" i="41"/>
  <c r="AD26" i="41" s="1"/>
  <c r="AC27" i="41"/>
  <c r="AD27" i="41" s="1"/>
  <c r="AC25" i="41"/>
  <c r="AD25" i="41" s="1"/>
  <c r="AC28" i="41"/>
  <c r="AD28" i="41" s="1"/>
  <c r="C12" i="40"/>
  <c r="AD32" i="41" l="1"/>
  <c r="AE54" i="41"/>
  <c r="AD54" i="41"/>
  <c r="AE28" i="41"/>
  <c r="AE39" i="41"/>
  <c r="AE34" i="41"/>
  <c r="AE35" i="41"/>
  <c r="AE42" i="41"/>
  <c r="AE23" i="41"/>
  <c r="AE22" i="41"/>
  <c r="AE40" i="41"/>
  <c r="AE46" i="41"/>
  <c r="AE41" i="41"/>
  <c r="AE47" i="41"/>
  <c r="AE52" i="41"/>
  <c r="AE45" i="41"/>
  <c r="AE48" i="41"/>
  <c r="AE36" i="41"/>
  <c r="AE43" i="41"/>
  <c r="AE25" i="41"/>
  <c r="AE30" i="41"/>
  <c r="AE49" i="41"/>
  <c r="AE37" i="41"/>
  <c r="AE53" i="41"/>
  <c r="AE31" i="41"/>
  <c r="AE50" i="41"/>
  <c r="AE44" i="41"/>
  <c r="AE27" i="41"/>
  <c r="AE29" i="41"/>
  <c r="AE26" i="41"/>
  <c r="AE51" i="41"/>
  <c r="AE32" i="41"/>
  <c r="AE24" i="41"/>
  <c r="AE33" i="41"/>
  <c r="AF28" i="41"/>
  <c r="AF42" i="41"/>
  <c r="AF49" i="41"/>
  <c r="AF23" i="41"/>
  <c r="AF43" i="41"/>
  <c r="AF50" i="41"/>
  <c r="AF22" i="41"/>
  <c r="AF29" i="41"/>
  <c r="AF44" i="41"/>
  <c r="AF45" i="41"/>
  <c r="AF26" i="41"/>
  <c r="AF30" i="41"/>
  <c r="AF32" i="41"/>
  <c r="AF34" i="41"/>
  <c r="AF47" i="41"/>
  <c r="AF52" i="41"/>
  <c r="AF24" i="41"/>
  <c r="AF46" i="41"/>
  <c r="AF31" i="41"/>
  <c r="AF33" i="41"/>
  <c r="AF48" i="41"/>
  <c r="AF51" i="41"/>
  <c r="AF27" i="41"/>
  <c r="AF35" i="41"/>
  <c r="AF53" i="41"/>
  <c r="AF25" i="41"/>
  <c r="AF36" i="41"/>
  <c r="AF37" i="41"/>
  <c r="AF41" i="41"/>
  <c r="AF38" i="41"/>
  <c r="AF39" i="41" l="1"/>
  <c r="AF40" i="41"/>
  <c r="AD57" i="41"/>
  <c r="AD58" i="41"/>
  <c r="J35" i="41"/>
  <c r="J38" i="41" s="1"/>
  <c r="J36" i="41"/>
  <c r="J39" i="41" s="1"/>
  <c r="AE57" i="41"/>
  <c r="J42" i="41"/>
  <c r="J45" i="41" s="1"/>
  <c r="AE58" i="41"/>
  <c r="J43" i="41"/>
  <c r="J46" i="41" s="1"/>
  <c r="AF58" i="41" l="1"/>
  <c r="AF57" i="41"/>
  <c r="J53" i="41"/>
  <c r="J56" i="41" s="1"/>
  <c r="J52" i="41"/>
  <c r="J55" i="41" s="1"/>
</calcChain>
</file>

<file path=xl/sharedStrings.xml><?xml version="1.0" encoding="utf-8"?>
<sst xmlns="http://schemas.openxmlformats.org/spreadsheetml/2006/main" count="176" uniqueCount="102">
  <si>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</si>
  <si>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</si>
  <si>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</si>
  <si>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</si>
  <si>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</si>
  <si>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</si>
  <si>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</si>
  <si>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</si>
  <si>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</si>
  <si>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</si>
  <si>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</si>
  <si>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</si>
  <si>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</si>
  <si>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</si>
  <si>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</si>
  <si>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</si>
  <si>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</si>
  <si>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</si>
  <si>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</si>
  <si>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</si>
  <si>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</si>
  <si>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</si>
  <si>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</si>
  <si>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</si>
  <si>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</si>
  <si>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</si>
  <si>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</si>
  <si>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</si>
  <si>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</si>
  <si>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</si>
  <si>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</si>
  <si>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</si>
  <si>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</si>
  <si>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</si>
  <si>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</si>
  <si>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</si>
  <si>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</si>
  <si>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</si>
  <si>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</si>
  <si>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</si>
  <si>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</si>
  <si>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</si>
  <si>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</si>
  <si>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</si>
  <si>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r>
      <t>R</t>
    </r>
    <r>
      <rPr>
        <vertAlign val="subscript"/>
        <sz val="10"/>
        <color theme="1"/>
        <rFont val="Calibri"/>
        <family val="2"/>
        <scheme val="minor"/>
      </rPr>
      <t>C</t>
    </r>
    <r>
      <rPr>
        <sz val="10"/>
        <color theme="1"/>
        <rFont val="Calibri"/>
        <family val="2"/>
        <scheme val="minor"/>
      </rPr>
      <t xml:space="preserve"> =</t>
    </r>
  </si>
  <si>
    <t>Results</t>
  </si>
  <si>
    <t>(in)</t>
  </si>
  <si>
    <t>(inlb)</t>
  </si>
  <si>
    <t>(lb)</t>
  </si>
  <si>
    <t>lb (Applied Load)</t>
  </si>
  <si>
    <t>W =</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</si>
  <si>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</si>
  <si>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</si>
  <si>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</si>
  <si>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</si>
  <si>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</si>
  <si>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</si>
  <si>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</si>
  <si>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</si>
  <si>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</si>
  <si>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</si>
  <si>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</si>
  <si>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</si>
  <si>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</si>
  <si>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</si>
  <si>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</si>
  <si>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</si>
  <si>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</si>
  <si>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</si>
  <si>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</si>
  <si>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</si>
  <si>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</si>
  <si>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</si>
  <si>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</si>
  <si>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</si>
  <si>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</si>
  <si>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</si>
  <si>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</si>
  <si>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</si>
  <si>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</si>
  <si>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</si>
  <si>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</si>
  <si>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</si>
  <si>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</si>
  <si>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18/09/2016</t>
  </si>
  <si>
    <t>Total Title No:</t>
  </si>
  <si>
    <t>No</t>
  </si>
  <si>
    <t>Title</t>
  </si>
  <si>
    <t>Total Sheet Pages:</t>
  </si>
  <si>
    <t>Running Counts</t>
  </si>
  <si>
    <t>Table</t>
  </si>
  <si>
    <t>Fig</t>
  </si>
  <si>
    <t>Sub</t>
  </si>
  <si>
    <t xml:space="preserve">Page </t>
  </si>
  <si>
    <r>
      <t>θ</t>
    </r>
    <r>
      <rPr>
        <vertAlign val="subscript"/>
        <sz val="10"/>
        <color theme="1"/>
        <rFont val="Calibri"/>
        <family val="2"/>
        <scheme val="minor"/>
      </rPr>
      <t>C</t>
    </r>
    <r>
      <rPr>
        <sz val="10"/>
        <color theme="1"/>
        <rFont val="Calibri"/>
        <family val="2"/>
        <scheme val="minor"/>
      </rPr>
      <t xml:space="preserve"> =</t>
    </r>
  </si>
  <si>
    <t>AA-SM-026-013</t>
  </si>
  <si>
    <t>SIMPLE BEAMS - SINGLE SPAN - UDL along Entire Length</t>
  </si>
  <si>
    <t>w =</t>
  </si>
  <si>
    <t>lb/in</t>
  </si>
  <si>
    <t>Max M =</t>
  </si>
  <si>
    <r>
      <t>y</t>
    </r>
    <r>
      <rPr>
        <vertAlign val="subscript"/>
        <sz val="10"/>
        <color theme="1"/>
        <rFont val="Calibri"/>
        <family val="2"/>
        <scheme val="minor"/>
      </rPr>
      <t>Max</t>
    </r>
    <r>
      <rPr>
        <sz val="10"/>
        <color theme="1"/>
        <rFont val="Calibri"/>
        <family val="2"/>
        <scheme val="minor"/>
      </rPr>
      <t xml:space="preserve"> =</t>
    </r>
  </si>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</sst>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1">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165" fontId="13" fillId="0" borderId="0" xfId="0" applyNumberFormat="1" applyFont="1"/>
    <xf numFmtId="166" fontId="13" fillId="0" borderId="0" xfId="0" applyNumberFormat="1" applyFont="1"/>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6"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0" fontId="19"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xf numFmtId="167" fontId="5" fillId="0" borderId="0" xfId="0" applyNumberFormat="1" applyFont="1" applyBorder="1" applyAlignment="1">
      <alignment horizontal="center"/>
    </xf>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1.1333333333333333</c:v>
                </c:pt>
                <c:pt idx="3">
                  <c:v>2.2666666666666666</c:v>
                </c:pt>
                <c:pt idx="4">
                  <c:v>3.4</c:v>
                </c:pt>
                <c:pt idx="5">
                  <c:v>4.5333333333333332</c:v>
                </c:pt>
                <c:pt idx="6">
                  <c:v>5.6666666666666661</c:v>
                </c:pt>
                <c:pt idx="7">
                  <c:v>6.8</c:v>
                </c:pt>
                <c:pt idx="8">
                  <c:v>7.9333333333333336</c:v>
                </c:pt>
                <c:pt idx="9">
                  <c:v>9.0666666666666664</c:v>
                </c:pt>
                <c:pt idx="10">
                  <c:v>10.199999999999999</c:v>
                </c:pt>
                <c:pt idx="11">
                  <c:v>11.333333333333332</c:v>
                </c:pt>
                <c:pt idx="12">
                  <c:v>12.466666666666667</c:v>
                </c:pt>
                <c:pt idx="13">
                  <c:v>13.6</c:v>
                </c:pt>
                <c:pt idx="14">
                  <c:v>14.733333333333333</c:v>
                </c:pt>
                <c:pt idx="15">
                  <c:v>15.866666666666667</c:v>
                </c:pt>
                <c:pt idx="16">
                  <c:v>17</c:v>
                </c:pt>
                <c:pt idx="17">
                  <c:v>18.133333333333333</c:v>
                </c:pt>
                <c:pt idx="18">
                  <c:v>19.266666666666666</c:v>
                </c:pt>
                <c:pt idx="19">
                  <c:v>20.399999999999999</c:v>
                </c:pt>
                <c:pt idx="20">
                  <c:v>21.533333333333331</c:v>
                </c:pt>
                <c:pt idx="21">
                  <c:v>22.666666666666664</c:v>
                </c:pt>
                <c:pt idx="22">
                  <c:v>23.8</c:v>
                </c:pt>
                <c:pt idx="23">
                  <c:v>24.933333333333334</c:v>
                </c:pt>
                <c:pt idx="24">
                  <c:v>26.066666666666666</c:v>
                </c:pt>
                <c:pt idx="25">
                  <c:v>27.2</c:v>
                </c:pt>
                <c:pt idx="26">
                  <c:v>28.333333333333332</c:v>
                </c:pt>
                <c:pt idx="27">
                  <c:v>29.466666666666665</c:v>
                </c:pt>
                <c:pt idx="28">
                  <c:v>30.599999999999998</c:v>
                </c:pt>
                <c:pt idx="29">
                  <c:v>31.733333333333334</c:v>
                </c:pt>
                <c:pt idx="30">
                  <c:v>32.866666666666667</c:v>
                </c:pt>
                <c:pt idx="31">
                  <c:v>34</c:v>
                </c:pt>
                <c:pt idx="32">
                  <c:v>34</c:v>
                </c:pt>
                <c:pt idx="33">
                  <c:v>34.000010000000003</c:v>
                </c:pt>
              </c:numCache>
            </c:numRef>
          </c:xVal>
          <c:yVal>
            <c:numRef>
              <c:f>'POINT LOAD MID SPAN'!$AD$21:$AD$54</c:f>
              <c:numCache>
                <c:formatCode>0</c:formatCode>
                <c:ptCount val="34"/>
                <c:pt idx="0" formatCode="General">
                  <c:v>0</c:v>
                </c:pt>
                <c:pt idx="1">
                  <c:v>680</c:v>
                </c:pt>
                <c:pt idx="2">
                  <c:v>634.66666666666663</c:v>
                </c:pt>
                <c:pt idx="3">
                  <c:v>589.33333333333337</c:v>
                </c:pt>
                <c:pt idx="4">
                  <c:v>544</c:v>
                </c:pt>
                <c:pt idx="5">
                  <c:v>498.66666666666669</c:v>
                </c:pt>
                <c:pt idx="6">
                  <c:v>453.33333333333337</c:v>
                </c:pt>
                <c:pt idx="7">
                  <c:v>408.00000000000006</c:v>
                </c:pt>
                <c:pt idx="8">
                  <c:v>362.66666666666669</c:v>
                </c:pt>
                <c:pt idx="9">
                  <c:v>317.33333333333331</c:v>
                </c:pt>
                <c:pt idx="10">
                  <c:v>272</c:v>
                </c:pt>
                <c:pt idx="11">
                  <c:v>226.66666666666669</c:v>
                </c:pt>
                <c:pt idx="12">
                  <c:v>181.33333333333329</c:v>
                </c:pt>
                <c:pt idx="13">
                  <c:v>136.00000000000006</c:v>
                </c:pt>
                <c:pt idx="14">
                  <c:v>90.666666666666728</c:v>
                </c:pt>
                <c:pt idx="15">
                  <c:v>45.333333333333321</c:v>
                </c:pt>
                <c:pt idx="16">
                  <c:v>0</c:v>
                </c:pt>
                <c:pt idx="17">
                  <c:v>-45.333333333333321</c:v>
                </c:pt>
                <c:pt idx="18">
                  <c:v>-90.666666666666643</c:v>
                </c:pt>
                <c:pt idx="19">
                  <c:v>-135.99999999999997</c:v>
                </c:pt>
                <c:pt idx="20">
                  <c:v>-181.33333333333329</c:v>
                </c:pt>
                <c:pt idx="21">
                  <c:v>-226.66666666666663</c:v>
                </c:pt>
                <c:pt idx="22">
                  <c:v>-272.00000000000011</c:v>
                </c:pt>
                <c:pt idx="23">
                  <c:v>-317.33333333333343</c:v>
                </c:pt>
                <c:pt idx="24">
                  <c:v>-362.66666666666657</c:v>
                </c:pt>
                <c:pt idx="25">
                  <c:v>-407.99999999999989</c:v>
                </c:pt>
                <c:pt idx="26">
                  <c:v>-453.33333333333326</c:v>
                </c:pt>
                <c:pt idx="27">
                  <c:v>-498.66666666666657</c:v>
                </c:pt>
                <c:pt idx="28">
                  <c:v>-543.99999999999989</c:v>
                </c:pt>
                <c:pt idx="29">
                  <c:v>-589.33333333333337</c:v>
                </c:pt>
                <c:pt idx="30">
                  <c:v>-634.66666666666663</c:v>
                </c:pt>
                <c:pt idx="31">
                  <c:v>-680</c:v>
                </c:pt>
                <c:pt idx="32">
                  <c:v>-680</c:v>
                </c:pt>
                <c:pt idx="33">
                  <c:v>-680.00040000000013</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1.1333333333333333</c:v>
                </c:pt>
                <c:pt idx="3">
                  <c:v>2.2666666666666666</c:v>
                </c:pt>
                <c:pt idx="4">
                  <c:v>3.4</c:v>
                </c:pt>
                <c:pt idx="5">
                  <c:v>4.5333333333333332</c:v>
                </c:pt>
                <c:pt idx="6">
                  <c:v>5.6666666666666661</c:v>
                </c:pt>
                <c:pt idx="7">
                  <c:v>6.8</c:v>
                </c:pt>
                <c:pt idx="8">
                  <c:v>7.9333333333333336</c:v>
                </c:pt>
                <c:pt idx="9">
                  <c:v>9.0666666666666664</c:v>
                </c:pt>
                <c:pt idx="10">
                  <c:v>10.199999999999999</c:v>
                </c:pt>
                <c:pt idx="11">
                  <c:v>11.333333333333332</c:v>
                </c:pt>
                <c:pt idx="12">
                  <c:v>12.466666666666667</c:v>
                </c:pt>
                <c:pt idx="13">
                  <c:v>13.6</c:v>
                </c:pt>
                <c:pt idx="14">
                  <c:v>14.733333333333333</c:v>
                </c:pt>
                <c:pt idx="15">
                  <c:v>15.866666666666667</c:v>
                </c:pt>
                <c:pt idx="16">
                  <c:v>17</c:v>
                </c:pt>
                <c:pt idx="17">
                  <c:v>18.133333333333333</c:v>
                </c:pt>
                <c:pt idx="18">
                  <c:v>19.266666666666666</c:v>
                </c:pt>
                <c:pt idx="19">
                  <c:v>20.399999999999999</c:v>
                </c:pt>
                <c:pt idx="20">
                  <c:v>21.533333333333331</c:v>
                </c:pt>
                <c:pt idx="21">
                  <c:v>22.666666666666664</c:v>
                </c:pt>
                <c:pt idx="22">
                  <c:v>23.8</c:v>
                </c:pt>
                <c:pt idx="23">
                  <c:v>24.933333333333334</c:v>
                </c:pt>
                <c:pt idx="24">
                  <c:v>26.066666666666666</c:v>
                </c:pt>
                <c:pt idx="25">
                  <c:v>27.2</c:v>
                </c:pt>
                <c:pt idx="26">
                  <c:v>28.333333333333332</c:v>
                </c:pt>
                <c:pt idx="27">
                  <c:v>29.466666666666665</c:v>
                </c:pt>
                <c:pt idx="28">
                  <c:v>30.599999999999998</c:v>
                </c:pt>
                <c:pt idx="29">
                  <c:v>31.733333333333334</c:v>
                </c:pt>
                <c:pt idx="30">
                  <c:v>32.866666666666667</c:v>
                </c:pt>
                <c:pt idx="31">
                  <c:v>34</c:v>
                </c:pt>
                <c:pt idx="32">
                  <c:v>34</c:v>
                </c:pt>
                <c:pt idx="33">
                  <c:v>34.000010000000003</c:v>
                </c:pt>
              </c:numCache>
            </c:numRef>
          </c:xVal>
          <c:yVal>
            <c:numRef>
              <c:f>'POINT LOAD MID SPAN'!$AE$21:$AE$54</c:f>
              <c:numCache>
                <c:formatCode>0</c:formatCode>
                <c:ptCount val="34"/>
                <c:pt idx="0" formatCode="General">
                  <c:v>0</c:v>
                </c:pt>
                <c:pt idx="1">
                  <c:v>0</c:v>
                </c:pt>
                <c:pt idx="2">
                  <c:v>744.97777777777787</c:v>
                </c:pt>
                <c:pt idx="3">
                  <c:v>1438.5777777777778</c:v>
                </c:pt>
                <c:pt idx="4">
                  <c:v>2080.8000000000002</c:v>
                </c:pt>
                <c:pt idx="5">
                  <c:v>2671.6444444444446</c:v>
                </c:pt>
                <c:pt idx="6">
                  <c:v>3211.1111111111104</c:v>
                </c:pt>
                <c:pt idx="7">
                  <c:v>3699.2</c:v>
                </c:pt>
                <c:pt idx="8">
                  <c:v>4135.9111111111115</c:v>
                </c:pt>
                <c:pt idx="9">
                  <c:v>4521.2444444444445</c:v>
                </c:pt>
                <c:pt idx="10">
                  <c:v>4855.2</c:v>
                </c:pt>
                <c:pt idx="11">
                  <c:v>5137.7777777777774</c:v>
                </c:pt>
                <c:pt idx="12">
                  <c:v>5368.9777777777772</c:v>
                </c:pt>
                <c:pt idx="13">
                  <c:v>5548.8</c:v>
                </c:pt>
                <c:pt idx="14">
                  <c:v>5677.2444444444445</c:v>
                </c:pt>
                <c:pt idx="15">
                  <c:v>5754.311111111112</c:v>
                </c:pt>
                <c:pt idx="16">
                  <c:v>5780</c:v>
                </c:pt>
                <c:pt idx="17">
                  <c:v>5754.311111111112</c:v>
                </c:pt>
                <c:pt idx="18">
                  <c:v>5677.2444444444454</c:v>
                </c:pt>
                <c:pt idx="19">
                  <c:v>5548.8</c:v>
                </c:pt>
                <c:pt idx="20">
                  <c:v>5368.977777777779</c:v>
                </c:pt>
                <c:pt idx="21">
                  <c:v>5137.7777777777774</c:v>
                </c:pt>
                <c:pt idx="22">
                  <c:v>4855.2000000000007</c:v>
                </c:pt>
                <c:pt idx="23">
                  <c:v>4521.2444444444436</c:v>
                </c:pt>
                <c:pt idx="24">
                  <c:v>4135.9111111111106</c:v>
                </c:pt>
                <c:pt idx="25">
                  <c:v>3699.2000000000007</c:v>
                </c:pt>
                <c:pt idx="26">
                  <c:v>3211.1111111111104</c:v>
                </c:pt>
                <c:pt idx="27">
                  <c:v>2671.6444444444442</c:v>
                </c:pt>
                <c:pt idx="28">
                  <c:v>2080.8000000000015</c:v>
                </c:pt>
                <c:pt idx="29">
                  <c:v>1438.577777777778</c:v>
                </c:pt>
                <c:pt idx="30">
                  <c:v>744.97777777777583</c:v>
                </c:pt>
                <c:pt idx="31">
                  <c:v>0</c:v>
                </c:pt>
                <c:pt idx="32">
                  <c:v>0</c:v>
                </c:pt>
                <c:pt idx="33">
                  <c:v>-6.8000020024783225E-3</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SPAN'!$AC$22:$AC$53</c:f>
              <c:numCache>
                <c:formatCode>0.00</c:formatCode>
                <c:ptCount val="32"/>
                <c:pt idx="0">
                  <c:v>0</c:v>
                </c:pt>
                <c:pt idx="1">
                  <c:v>1.1333333333333333</c:v>
                </c:pt>
                <c:pt idx="2">
                  <c:v>2.2666666666666666</c:v>
                </c:pt>
                <c:pt idx="3">
                  <c:v>3.4</c:v>
                </c:pt>
                <c:pt idx="4">
                  <c:v>4.5333333333333332</c:v>
                </c:pt>
                <c:pt idx="5">
                  <c:v>5.6666666666666661</c:v>
                </c:pt>
                <c:pt idx="6">
                  <c:v>6.8</c:v>
                </c:pt>
                <c:pt idx="7">
                  <c:v>7.9333333333333336</c:v>
                </c:pt>
                <c:pt idx="8">
                  <c:v>9.0666666666666664</c:v>
                </c:pt>
                <c:pt idx="9">
                  <c:v>10.199999999999999</c:v>
                </c:pt>
                <c:pt idx="10">
                  <c:v>11.333333333333332</c:v>
                </c:pt>
                <c:pt idx="11">
                  <c:v>12.466666666666667</c:v>
                </c:pt>
                <c:pt idx="12">
                  <c:v>13.6</c:v>
                </c:pt>
                <c:pt idx="13">
                  <c:v>14.733333333333333</c:v>
                </c:pt>
                <c:pt idx="14">
                  <c:v>15.866666666666667</c:v>
                </c:pt>
                <c:pt idx="15">
                  <c:v>17</c:v>
                </c:pt>
                <c:pt idx="16">
                  <c:v>18.133333333333333</c:v>
                </c:pt>
                <c:pt idx="17">
                  <c:v>19.266666666666666</c:v>
                </c:pt>
                <c:pt idx="18">
                  <c:v>20.399999999999999</c:v>
                </c:pt>
                <c:pt idx="19">
                  <c:v>21.533333333333331</c:v>
                </c:pt>
                <c:pt idx="20">
                  <c:v>22.666666666666664</c:v>
                </c:pt>
                <c:pt idx="21">
                  <c:v>23.8</c:v>
                </c:pt>
                <c:pt idx="22">
                  <c:v>24.933333333333334</c:v>
                </c:pt>
                <c:pt idx="23">
                  <c:v>26.066666666666666</c:v>
                </c:pt>
                <c:pt idx="24">
                  <c:v>27.2</c:v>
                </c:pt>
                <c:pt idx="25">
                  <c:v>28.333333333333332</c:v>
                </c:pt>
                <c:pt idx="26">
                  <c:v>29.466666666666665</c:v>
                </c:pt>
                <c:pt idx="27">
                  <c:v>30.599999999999998</c:v>
                </c:pt>
                <c:pt idx="28">
                  <c:v>31.733333333333334</c:v>
                </c:pt>
                <c:pt idx="29">
                  <c:v>32.866666666666667</c:v>
                </c:pt>
                <c:pt idx="30">
                  <c:v>34</c:v>
                </c:pt>
                <c:pt idx="31">
                  <c:v>34</c:v>
                </c:pt>
              </c:numCache>
            </c:numRef>
          </c:xVal>
          <c:yVal>
            <c:numRef>
              <c:f>'POINT LOAD MID SPAN'!$AF$22:$AF$53</c:f>
              <c:numCache>
                <c:formatCode>0.00</c:formatCode>
                <c:ptCount val="32"/>
                <c:pt idx="0">
                  <c:v>0</c:v>
                </c:pt>
                <c:pt idx="1">
                  <c:v>-0.74078658798353902</c:v>
                </c:pt>
                <c:pt idx="2">
                  <c:v>-1.4720593435390947</c:v>
                </c:pt>
                <c:pt idx="3">
                  <c:v>-2.1849093599999998</c:v>
                </c:pt>
                <c:pt idx="4">
                  <c:v>-2.8710876497119342</c:v>
                </c:pt>
                <c:pt idx="5">
                  <c:v>-3.523005144032922</c:v>
                </c:pt>
                <c:pt idx="6">
                  <c:v>-4.1337326933333332</c:v>
                </c:pt>
                <c:pt idx="7">
                  <c:v>-4.6970010669958864</c:v>
                </c:pt>
                <c:pt idx="8">
                  <c:v>-5.2072009534156383</c:v>
                </c:pt>
                <c:pt idx="9">
                  <c:v>-5.6593829599999994</c:v>
                </c:pt>
                <c:pt idx="10">
                  <c:v>-6.0492576131687246</c:v>
                </c:pt>
                <c:pt idx="11">
                  <c:v>-6.37319535835391</c:v>
                </c:pt>
                <c:pt idx="12">
                  <c:v>-6.6282265599999999</c:v>
                </c:pt>
                <c:pt idx="13">
                  <c:v>-6.8120415015637867</c:v>
                </c:pt>
                <c:pt idx="14">
                  <c:v>-6.9229903855144048</c:v>
                </c:pt>
                <c:pt idx="15">
                  <c:v>-6.9600833333333334</c:v>
                </c:pt>
                <c:pt idx="16">
                  <c:v>-6.9229903855144039</c:v>
                </c:pt>
                <c:pt idx="17">
                  <c:v>-6.8120415015637859</c:v>
                </c:pt>
                <c:pt idx="18">
                  <c:v>-6.628226559999999</c:v>
                </c:pt>
                <c:pt idx="19">
                  <c:v>-6.3731953583539118</c:v>
                </c:pt>
                <c:pt idx="20">
                  <c:v>-6.0492576131687255</c:v>
                </c:pt>
                <c:pt idx="21">
                  <c:v>-5.6593829599999976</c:v>
                </c:pt>
                <c:pt idx="22">
                  <c:v>-5.2072009534156383</c:v>
                </c:pt>
                <c:pt idx="23">
                  <c:v>-4.6970010669958837</c:v>
                </c:pt>
                <c:pt idx="24">
                  <c:v>-4.133732693333334</c:v>
                </c:pt>
                <c:pt idx="25">
                  <c:v>-3.5230051440329233</c:v>
                </c:pt>
                <c:pt idx="26">
                  <c:v>-2.8710876497119369</c:v>
                </c:pt>
                <c:pt idx="27">
                  <c:v>-2.1849093599999994</c:v>
                </c:pt>
                <c:pt idx="28">
                  <c:v>-1.4720593435390972</c:v>
                </c:pt>
                <c:pt idx="29">
                  <c:v>-0.74078658798354124</c:v>
                </c:pt>
                <c:pt idx="30">
                  <c:v>0</c:v>
                </c:pt>
                <c:pt idx="31">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171116</xdr:rowOff>
    </xdr:from>
    <xdr:to>
      <xdr:col>8</xdr:col>
      <xdr:colOff>0</xdr:colOff>
      <xdr:row>46</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83821"/>
          <a:ext cx="2515960" cy="59427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344556</xdr:colOff>
      <xdr:row>14</xdr:row>
      <xdr:rowOff>11563</xdr:rowOff>
    </xdr:from>
    <xdr:to>
      <xdr:col>4</xdr:col>
      <xdr:colOff>185528</xdr:colOff>
      <xdr:row>21</xdr:row>
      <xdr:rowOff>80199</xdr:rowOff>
    </xdr:to>
    <xdr:grpSp>
      <xdr:nvGrpSpPr>
        <xdr:cNvPr id="7" name="Group 6">
          <a:extLst>
            <a:ext uri="{FF2B5EF4-FFF2-40B4-BE49-F238E27FC236}">
              <a16:creationId xmlns:a16="http://schemas.microsoft.com/office/drawing/2014/main" id="{79CE7405-9589-4C15-BD58-E1B2103DE557}"/>
            </a:ext>
          </a:extLst>
        </xdr:cNvPr>
        <xdr:cNvGrpSpPr/>
      </xdr:nvGrpSpPr>
      <xdr:grpSpPr>
        <a:xfrm>
          <a:off x="344556" y="2379206"/>
          <a:ext cx="2331079" cy="1225243"/>
          <a:chOff x="344556" y="2558247"/>
          <a:chExt cx="2387656" cy="1319920"/>
        </a:xfrm>
      </xdr:grpSpPr>
      <xdr:grpSp>
        <xdr:nvGrpSpPr>
          <xdr:cNvPr id="6" name="Group 5">
            <a:extLst>
              <a:ext uri="{FF2B5EF4-FFF2-40B4-BE49-F238E27FC236}">
                <a16:creationId xmlns:a16="http://schemas.microsoft.com/office/drawing/2014/main" id="{00000000-0008-0000-0100-000006000000}"/>
              </a:ext>
            </a:extLst>
          </xdr:cNvPr>
          <xdr:cNvGrpSpPr/>
        </xdr:nvGrpSpPr>
        <xdr:grpSpPr>
          <a:xfrm>
            <a:off x="344556" y="2558247"/>
            <a:ext cx="2387656" cy="1319920"/>
            <a:chOff x="344556" y="2597105"/>
            <a:chExt cx="2389731" cy="1298347"/>
          </a:xfrm>
        </xdr:grpSpPr>
        <xdr:cxnSp macro="">
          <xdr:nvCxnSpPr>
            <xdr:cNvPr id="13" name="Straight Connector 12">
              <a:extLst>
                <a:ext uri="{FF2B5EF4-FFF2-40B4-BE49-F238E27FC236}">
                  <a16:creationId xmlns:a16="http://schemas.microsoft.com/office/drawing/2014/main" id="{00000000-0008-0000-0100-00000D000000}"/>
                </a:ext>
              </a:extLst>
            </xdr:cNvPr>
            <xdr:cNvCxnSpPr/>
          </xdr:nvCxnSpPr>
          <xdr:spPr bwMode="auto">
            <a:xfrm>
              <a:off x="631620" y="2655245"/>
              <a:ext cx="0" cy="3157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bwMode="auto">
            <a:xfrm flipV="1">
              <a:off x="1923583" y="3544838"/>
              <a:ext cx="0" cy="35061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879809" y="3624148"/>
              <a:ext cx="315864" cy="268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bwMode="auto">
            <a:xfrm>
              <a:off x="631620" y="2794172"/>
              <a:ext cx="128385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44556" y="3315435"/>
              <a:ext cx="258296" cy="27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97500" y="2610697"/>
              <a:ext cx="257070"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1" name="Straight Connector 20">
              <a:extLst>
                <a:ext uri="{FF2B5EF4-FFF2-40B4-BE49-F238E27FC236}">
                  <a16:creationId xmlns:a16="http://schemas.microsoft.com/office/drawing/2014/main" id="{00000000-0008-0000-0100-000015000000}"/>
                </a:ext>
              </a:extLst>
            </xdr:cNvPr>
            <xdr:cNvCxnSpPr/>
          </xdr:nvCxnSpPr>
          <xdr:spPr bwMode="auto">
            <a:xfrm flipH="1">
              <a:off x="2015309" y="3388363"/>
              <a:ext cx="60959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2472752" y="3138762"/>
              <a:ext cx="261535"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3" name="Straight Connector 22">
              <a:extLst>
                <a:ext uri="{FF2B5EF4-FFF2-40B4-BE49-F238E27FC236}">
                  <a16:creationId xmlns:a16="http://schemas.microsoft.com/office/drawing/2014/main" id="{00000000-0008-0000-0100-000017000000}"/>
                </a:ext>
              </a:extLst>
            </xdr:cNvPr>
            <xdr:cNvCxnSpPr/>
          </xdr:nvCxnSpPr>
          <xdr:spPr bwMode="auto">
            <a:xfrm>
              <a:off x="1919172" y="2655245"/>
              <a:ext cx="0" cy="31914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162819" y="2597105"/>
              <a:ext cx="239475"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622480" y="3388364"/>
              <a:ext cx="1305913" cy="88182"/>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08262" y="3158482"/>
              <a:ext cx="269889"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907269" y="3158109"/>
              <a:ext cx="265780"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567457" y="3399839"/>
              <a:ext cx="1265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860458" y="3399839"/>
              <a:ext cx="1249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22853" y="3544838"/>
              <a:ext cx="0" cy="35061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8478" y="3624148"/>
              <a:ext cx="314814" cy="268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78" name="TextBox 77">
              <a:extLst>
                <a:ext uri="{FF2B5EF4-FFF2-40B4-BE49-F238E27FC236}">
                  <a16:creationId xmlns:a16="http://schemas.microsoft.com/office/drawing/2014/main" id="{E3DA0C17-DB75-4FED-8E4B-3BFDF0F772E9}"/>
                </a:ext>
              </a:extLst>
            </xdr:cNvPr>
            <xdr:cNvSpPr txBox="1"/>
          </xdr:nvSpPr>
          <xdr:spPr>
            <a:xfrm>
              <a:off x="1917833" y="3342712"/>
              <a:ext cx="258296" cy="27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grpSp>
      <xdr:grpSp>
        <xdr:nvGrpSpPr>
          <xdr:cNvPr id="37" name="Group 36">
            <a:extLst>
              <a:ext uri="{FF2B5EF4-FFF2-40B4-BE49-F238E27FC236}">
                <a16:creationId xmlns:a16="http://schemas.microsoft.com/office/drawing/2014/main" id="{63F69ED7-3D5A-4237-9A19-6DA029B754F4}"/>
              </a:ext>
            </a:extLst>
          </xdr:cNvPr>
          <xdr:cNvGrpSpPr/>
        </xdr:nvGrpSpPr>
        <xdr:grpSpPr>
          <a:xfrm>
            <a:off x="623147" y="2765758"/>
            <a:ext cx="1301912" cy="582758"/>
            <a:chOff x="624840" y="2843382"/>
            <a:chExt cx="1301452" cy="579005"/>
          </a:xfrm>
        </xdr:grpSpPr>
        <xdr:sp macro="" textlink="">
          <xdr:nvSpPr>
            <xdr:cNvPr id="55" name="TextBox 54">
              <a:extLst>
                <a:ext uri="{FF2B5EF4-FFF2-40B4-BE49-F238E27FC236}">
                  <a16:creationId xmlns:a16="http://schemas.microsoft.com/office/drawing/2014/main" id="{F34D18AC-3196-46DD-9A88-33F58AF1FC10}"/>
                </a:ext>
              </a:extLst>
            </xdr:cNvPr>
            <xdr:cNvSpPr txBox="1"/>
          </xdr:nvSpPr>
          <xdr:spPr>
            <a:xfrm>
              <a:off x="1029656" y="2843382"/>
              <a:ext cx="553671" cy="271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cxnSp macro="">
          <xdr:nvCxnSpPr>
            <xdr:cNvPr id="59" name="Straight Arrow Connector 58">
              <a:extLst>
                <a:ext uri="{FF2B5EF4-FFF2-40B4-BE49-F238E27FC236}">
                  <a16:creationId xmlns:a16="http://schemas.microsoft.com/office/drawing/2014/main" id="{55B79803-0E1E-424A-AD54-3DDFDEBDC3A4}"/>
                </a:ext>
              </a:extLst>
            </xdr:cNvPr>
            <xdr:cNvCxnSpPr/>
          </xdr:nvCxnSpPr>
          <xdr:spPr bwMode="auto">
            <a:xfrm flipH="1" flipV="1">
              <a:off x="624840" y="342138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60" name="Straight Arrow Connector 59">
              <a:extLst>
                <a:ext uri="{FF2B5EF4-FFF2-40B4-BE49-F238E27FC236}">
                  <a16:creationId xmlns:a16="http://schemas.microsoft.com/office/drawing/2014/main" id="{3E3A42A8-9001-401E-BF24-43597BA3D14F}"/>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1" name="Straight Arrow Connector 60">
              <a:extLst>
                <a:ext uri="{FF2B5EF4-FFF2-40B4-BE49-F238E27FC236}">
                  <a16:creationId xmlns:a16="http://schemas.microsoft.com/office/drawing/2014/main" id="{3DEBC997-E48D-4F8F-A233-F6F36C654408}"/>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2" name="Straight Arrow Connector 61">
              <a:extLst>
                <a:ext uri="{FF2B5EF4-FFF2-40B4-BE49-F238E27FC236}">
                  <a16:creationId xmlns:a16="http://schemas.microsoft.com/office/drawing/2014/main" id="{24EB9CA7-B390-400B-BD46-037916CB7E51}"/>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3" name="Straight Arrow Connector 62">
              <a:extLst>
                <a:ext uri="{FF2B5EF4-FFF2-40B4-BE49-F238E27FC236}">
                  <a16:creationId xmlns:a16="http://schemas.microsoft.com/office/drawing/2014/main" id="{ECAA41E8-743C-428C-9AF0-0A38BF6EC633}"/>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4" name="Straight Arrow Connector 63">
              <a:extLst>
                <a:ext uri="{FF2B5EF4-FFF2-40B4-BE49-F238E27FC236}">
                  <a16:creationId xmlns:a16="http://schemas.microsoft.com/office/drawing/2014/main" id="{AD0C2931-14F5-4C29-BB0D-9242BB1551DB}"/>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5" name="Straight Arrow Connector 64">
              <a:extLst>
                <a:ext uri="{FF2B5EF4-FFF2-40B4-BE49-F238E27FC236}">
                  <a16:creationId xmlns:a16="http://schemas.microsoft.com/office/drawing/2014/main" id="{98399A55-3967-4CC8-BE72-553EA918C0E7}"/>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6" name="Straight Arrow Connector 65">
              <a:extLst>
                <a:ext uri="{FF2B5EF4-FFF2-40B4-BE49-F238E27FC236}">
                  <a16:creationId xmlns:a16="http://schemas.microsoft.com/office/drawing/2014/main" id="{118C8EB6-0FE8-4C85-ADBB-95E707BA8D73}"/>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7" name="Straight Arrow Connector 66">
              <a:extLst>
                <a:ext uri="{FF2B5EF4-FFF2-40B4-BE49-F238E27FC236}">
                  <a16:creationId xmlns:a16="http://schemas.microsoft.com/office/drawing/2014/main" id="{576AF00D-1865-427A-8E3B-62F02D60DE83}"/>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8" name="Straight Arrow Connector 67">
              <a:extLst>
                <a:ext uri="{FF2B5EF4-FFF2-40B4-BE49-F238E27FC236}">
                  <a16:creationId xmlns:a16="http://schemas.microsoft.com/office/drawing/2014/main" id="{2551338C-B41D-48CC-96B6-DBDC52877595}"/>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9" name="Straight Arrow Connector 68">
              <a:extLst>
                <a:ext uri="{FF2B5EF4-FFF2-40B4-BE49-F238E27FC236}">
                  <a16:creationId xmlns:a16="http://schemas.microsoft.com/office/drawing/2014/main" id="{E6DBD764-7892-4B8E-8309-49C0BFB1E983}"/>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0" name="Straight Connector 69">
              <a:extLst>
                <a:ext uri="{FF2B5EF4-FFF2-40B4-BE49-F238E27FC236}">
                  <a16:creationId xmlns:a16="http://schemas.microsoft.com/office/drawing/2014/main" id="{41A20673-F2B7-4E18-B296-D8652ECEC314}"/>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clientData/>
  </xdr:twoCellAnchor>
  <xdr:oneCellAnchor>
    <xdr:from>
      <xdr:col>0</xdr:col>
      <xdr:colOff>0</xdr:colOff>
      <xdr:row>59</xdr:row>
      <xdr:rowOff>0</xdr:rowOff>
    </xdr:from>
    <xdr:ext cx="6695377" cy="325244"/>
    <xdr:sp macro="" textlink="">
      <xdr:nvSpPr>
        <xdr:cNvPr id="44" name="TextBox 43">
          <a:hlinkClick xmlns:r="http://schemas.openxmlformats.org/officeDocument/2006/relationships" r:id="rId7"/>
          <a:extLst>
            <a:ext uri="{FF2B5EF4-FFF2-40B4-BE49-F238E27FC236}">
              <a16:creationId xmlns:a16="http://schemas.microsoft.com/office/drawing/2014/main" id="{3DD67B85-B0CA-4B8B-B2B6-F2F59796AFAC}"/>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6" t="s">
        <v>18</v>
      </c>
      <c r="C16" s="106"/>
      <c r="D16" s="106"/>
      <c r="E16" s="106"/>
      <c r="F16" s="106"/>
      <c r="G16" s="106"/>
      <c r="H16" s="106"/>
      <c r="I16" s="106"/>
      <c r="J16" s="106"/>
      <c r="M16" s="26"/>
      <c r="N16" s="26"/>
      <c r="O16" s="26"/>
      <c r="P16" s="26"/>
      <c r="Q16" s="26"/>
      <c r="R16" s="27"/>
      <c r="S16" s="27"/>
      <c r="T16" s="23"/>
      <c r="U16" s="23"/>
      <c r="V16" s="23"/>
      <c r="W16" s="23"/>
      <c r="X16" s="23"/>
      <c r="Y16" s="23"/>
    </row>
    <row r="17" spans="1:25" s="5" customFormat="1" ht="12.75" x14ac:dyDescent="0.2">
      <c r="B17" s="106"/>
      <c r="C17" s="106"/>
      <c r="D17" s="106"/>
      <c r="E17" s="106"/>
      <c r="F17" s="106"/>
      <c r="G17" s="106"/>
      <c r="H17" s="106"/>
      <c r="I17" s="106"/>
      <c r="J17" s="106"/>
      <c r="M17" s="26"/>
      <c r="N17" s="26"/>
      <c r="O17" s="26"/>
      <c r="P17" s="26"/>
      <c r="Q17" s="26"/>
      <c r="R17" s="27"/>
      <c r="S17" s="27"/>
      <c r="T17" s="23"/>
      <c r="U17" s="23"/>
      <c r="V17" s="23"/>
      <c r="W17" s="23"/>
      <c r="X17" s="23"/>
      <c r="Y17" s="23"/>
    </row>
    <row r="18" spans="1:25" s="5" customFormat="1" ht="12.75" x14ac:dyDescent="0.2">
      <c r="B18" s="106"/>
      <c r="C18" s="106"/>
      <c r="D18" s="106"/>
      <c r="E18" s="106"/>
      <c r="F18" s="106"/>
      <c r="G18" s="106"/>
      <c r="H18" s="106"/>
      <c r="I18" s="106"/>
      <c r="J18" s="106"/>
      <c r="M18" s="26"/>
      <c r="N18" s="26"/>
      <c r="O18" s="26"/>
      <c r="P18" s="26"/>
      <c r="Q18" s="26"/>
      <c r="R18" s="27"/>
      <c r="S18" s="27"/>
      <c r="T18" s="23"/>
      <c r="U18" s="23"/>
      <c r="V18" s="23"/>
      <c r="W18" s="23"/>
      <c r="X18" s="23"/>
      <c r="Y18" s="23"/>
    </row>
    <row r="19" spans="1:25" s="5" customFormat="1" ht="12.75" x14ac:dyDescent="0.2">
      <c r="B19" s="106"/>
      <c r="C19" s="106"/>
      <c r="D19" s="106"/>
      <c r="E19" s="106"/>
      <c r="F19" s="106"/>
      <c r="G19" s="106"/>
      <c r="H19" s="106"/>
      <c r="I19" s="106"/>
      <c r="J19" s="106"/>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6" t="s">
        <v>19</v>
      </c>
      <c r="C22" s="106"/>
      <c r="D22" s="106"/>
      <c r="E22" s="106"/>
      <c r="F22" s="106"/>
      <c r="G22" s="106"/>
      <c r="H22" s="106"/>
      <c r="I22" s="106"/>
      <c r="J22" s="106"/>
      <c r="K22" s="19"/>
      <c r="M22" s="26"/>
      <c r="N22" s="26"/>
      <c r="O22" s="26"/>
      <c r="P22" s="26"/>
      <c r="Q22" s="26"/>
      <c r="R22" s="27"/>
      <c r="S22" s="27"/>
      <c r="T22" s="23"/>
      <c r="U22" s="23"/>
      <c r="V22" s="23"/>
      <c r="W22" s="23"/>
      <c r="X22" s="23"/>
      <c r="Y22" s="23"/>
    </row>
    <row r="23" spans="1:25" s="5" customFormat="1" ht="12.75" x14ac:dyDescent="0.2">
      <c r="A23" s="19"/>
      <c r="B23" s="106"/>
      <c r="C23" s="106"/>
      <c r="D23" s="106"/>
      <c r="E23" s="106"/>
      <c r="F23" s="106"/>
      <c r="G23" s="106"/>
      <c r="H23" s="106"/>
      <c r="I23" s="106"/>
      <c r="J23" s="106"/>
      <c r="K23" s="19"/>
      <c r="M23" s="26"/>
      <c r="N23" s="26"/>
      <c r="O23" s="26"/>
      <c r="P23" s="26"/>
      <c r="Q23" s="26"/>
      <c r="R23" s="27"/>
      <c r="S23" s="30"/>
      <c r="T23" s="23"/>
      <c r="U23" s="23"/>
      <c r="V23" s="23"/>
      <c r="W23" s="23"/>
      <c r="X23" s="23"/>
      <c r="Y23" s="23"/>
    </row>
    <row r="24" spans="1:25" s="5" customFormat="1" ht="12.75" x14ac:dyDescent="0.2">
      <c r="A24" s="19"/>
      <c r="B24" s="106"/>
      <c r="C24" s="106"/>
      <c r="D24" s="106"/>
      <c r="E24" s="106"/>
      <c r="F24" s="106"/>
      <c r="G24" s="106"/>
      <c r="H24" s="106"/>
      <c r="I24" s="106"/>
      <c r="J24" s="106"/>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6" t="s">
        <v>21</v>
      </c>
      <c r="C26" s="106"/>
      <c r="D26" s="106"/>
      <c r="E26" s="106"/>
      <c r="F26" s="106"/>
      <c r="G26" s="106"/>
      <c r="H26" s="106"/>
      <c r="I26" s="106"/>
      <c r="J26" s="106"/>
      <c r="K26" s="19"/>
      <c r="M26" s="26"/>
      <c r="N26" s="26"/>
      <c r="O26" s="26"/>
      <c r="P26" s="26"/>
      <c r="Q26" s="26"/>
      <c r="R26" s="27"/>
      <c r="S26" s="27"/>
      <c r="T26" s="23"/>
      <c r="U26" s="23"/>
      <c r="V26" s="23"/>
      <c r="W26" s="23"/>
      <c r="X26" s="23"/>
      <c r="Y26" s="23"/>
    </row>
    <row r="27" spans="1:25" s="5" customFormat="1" ht="12.75" x14ac:dyDescent="0.2">
      <c r="A27" s="19"/>
      <c r="B27" s="106"/>
      <c r="C27" s="106"/>
      <c r="D27" s="106"/>
      <c r="E27" s="106"/>
      <c r="F27" s="106"/>
      <c r="G27" s="106"/>
      <c r="H27" s="106"/>
      <c r="I27" s="106"/>
      <c r="J27" s="106"/>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6" t="s">
        <v>22</v>
      </c>
      <c r="C29" s="106"/>
      <c r="D29" s="106"/>
      <c r="E29" s="106"/>
      <c r="F29" s="106"/>
      <c r="G29" s="106"/>
      <c r="H29" s="106"/>
      <c r="I29" s="106"/>
      <c r="J29" s="106"/>
      <c r="K29" s="19"/>
      <c r="M29" s="26"/>
      <c r="N29" s="26"/>
      <c r="O29" s="26"/>
      <c r="P29" s="26"/>
      <c r="Q29" s="26"/>
      <c r="R29" s="27"/>
      <c r="S29" s="27"/>
      <c r="T29" s="23"/>
      <c r="U29" s="23"/>
      <c r="V29" s="23"/>
      <c r="W29" s="23"/>
      <c r="X29" s="23"/>
      <c r="Y29" s="23"/>
    </row>
    <row r="30" spans="1:25" s="5" customFormat="1" ht="12.75" customHeight="1" x14ac:dyDescent="0.2">
      <c r="A30" s="19"/>
      <c r="B30" s="106"/>
      <c r="C30" s="106"/>
      <c r="D30" s="106"/>
      <c r="E30" s="106"/>
      <c r="F30" s="106"/>
      <c r="G30" s="106"/>
      <c r="H30" s="106"/>
      <c r="I30" s="106"/>
      <c r="J30" s="106"/>
      <c r="K30" s="19"/>
      <c r="M30" s="26"/>
      <c r="N30" s="26"/>
      <c r="O30" s="26"/>
      <c r="P30" s="26"/>
      <c r="Q30" s="26"/>
      <c r="R30" s="27"/>
      <c r="S30" s="27"/>
      <c r="T30" s="23"/>
      <c r="U30" s="23"/>
      <c r="V30" s="23"/>
      <c r="W30" s="23"/>
      <c r="X30" s="23"/>
      <c r="Y30" s="23"/>
    </row>
    <row r="31" spans="1:25" s="5" customFormat="1" ht="12.75" customHeight="1" x14ac:dyDescent="0.2">
      <c r="A31" s="19"/>
      <c r="B31" s="106"/>
      <c r="C31" s="106"/>
      <c r="D31" s="106"/>
      <c r="E31" s="106"/>
      <c r="F31" s="106"/>
      <c r="G31" s="106"/>
      <c r="H31" s="106"/>
      <c r="I31" s="106"/>
      <c r="J31" s="106"/>
      <c r="K31" s="19"/>
      <c r="M31" s="26"/>
      <c r="N31" s="26"/>
      <c r="O31" s="26"/>
      <c r="P31" s="26"/>
      <c r="Q31" s="26"/>
      <c r="R31" s="27"/>
      <c r="S31" s="27"/>
      <c r="T31" s="23"/>
      <c r="U31" s="23"/>
      <c r="V31" s="23"/>
      <c r="W31" s="23"/>
      <c r="X31" s="23"/>
      <c r="Y31" s="23"/>
    </row>
    <row r="32" spans="1:25" s="5" customFormat="1" ht="12.75" customHeight="1" x14ac:dyDescent="0.2">
      <c r="A32" s="19"/>
      <c r="B32" s="106"/>
      <c r="C32" s="106"/>
      <c r="D32" s="106"/>
      <c r="E32" s="106"/>
      <c r="F32" s="106"/>
      <c r="G32" s="106"/>
      <c r="H32" s="106"/>
      <c r="I32" s="106"/>
      <c r="J32" s="106"/>
      <c r="K32" s="19"/>
      <c r="M32" s="26"/>
      <c r="N32" s="26"/>
      <c r="O32" s="26"/>
      <c r="P32" s="26"/>
      <c r="Q32" s="26"/>
      <c r="R32" s="27"/>
      <c r="S32" s="27"/>
      <c r="T32" s="23"/>
      <c r="U32" s="23"/>
      <c r="V32" s="23"/>
      <c r="W32" s="23"/>
      <c r="X32" s="23"/>
      <c r="Y32" s="23"/>
    </row>
    <row r="33" spans="1:25" s="5" customFormat="1" ht="12.75" customHeight="1" x14ac:dyDescent="0.2">
      <c r="A33" s="19"/>
      <c r="B33" s="106"/>
      <c r="C33" s="106"/>
      <c r="D33" s="106"/>
      <c r="E33" s="106"/>
      <c r="F33" s="106"/>
      <c r="G33" s="106"/>
      <c r="H33" s="106"/>
      <c r="I33" s="106"/>
      <c r="J33" s="106"/>
      <c r="K33" s="19"/>
      <c r="M33" s="26"/>
      <c r="N33" s="26"/>
      <c r="O33" s="26"/>
      <c r="P33" s="26"/>
      <c r="Q33" s="26"/>
      <c r="R33" s="27"/>
      <c r="S33" s="30"/>
      <c r="T33" s="23"/>
      <c r="U33" s="23"/>
      <c r="V33" s="23"/>
      <c r="W33" s="23"/>
      <c r="X33" s="23"/>
      <c r="Y33" s="23"/>
    </row>
    <row r="34" spans="1:25" s="5" customFormat="1" ht="12.75" x14ac:dyDescent="0.2">
      <c r="A34" s="19"/>
      <c r="B34" s="32"/>
      <c r="C34" s="32"/>
      <c r="D34" s="108" t="s">
        <v>14</v>
      </c>
      <c r="E34" s="108"/>
      <c r="F34" s="108"/>
      <c r="G34" s="108"/>
      <c r="H34" s="108"/>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6" t="s">
        <v>23</v>
      </c>
      <c r="C38" s="106"/>
      <c r="D38" s="106"/>
      <c r="E38" s="106"/>
      <c r="F38" s="106"/>
      <c r="G38" s="106"/>
      <c r="H38" s="106"/>
      <c r="I38" s="106"/>
      <c r="J38" s="106"/>
      <c r="K38" s="19"/>
      <c r="M38" s="26"/>
      <c r="N38" s="26"/>
      <c r="O38" s="26"/>
      <c r="P38" s="26"/>
      <c r="Q38" s="26"/>
      <c r="R38" s="27"/>
      <c r="S38" s="27"/>
      <c r="T38" s="23"/>
      <c r="U38" s="23"/>
      <c r="V38" s="23"/>
      <c r="W38" s="23"/>
      <c r="X38" s="23"/>
      <c r="Y38" s="23"/>
    </row>
    <row r="39" spans="1:25" s="5" customFormat="1" ht="12.75" x14ac:dyDescent="0.2">
      <c r="A39" s="19"/>
      <c r="B39" s="106"/>
      <c r="C39" s="106"/>
      <c r="D39" s="106"/>
      <c r="E39" s="106"/>
      <c r="F39" s="106"/>
      <c r="G39" s="106"/>
      <c r="H39" s="106"/>
      <c r="I39" s="106"/>
      <c r="J39" s="106"/>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6" t="s">
        <v>24</v>
      </c>
      <c r="C41" s="106"/>
      <c r="D41" s="106"/>
      <c r="E41" s="106"/>
      <c r="F41" s="106"/>
      <c r="G41" s="106"/>
      <c r="H41" s="106"/>
      <c r="I41" s="106"/>
      <c r="J41" s="106"/>
      <c r="K41" s="19"/>
      <c r="M41" s="26"/>
      <c r="N41" s="26"/>
      <c r="O41" s="26"/>
      <c r="P41" s="26"/>
      <c r="Q41" s="26"/>
      <c r="R41" s="27"/>
      <c r="S41" s="27"/>
      <c r="T41" s="23"/>
      <c r="U41" s="23"/>
      <c r="V41" s="23"/>
      <c r="W41" s="23"/>
      <c r="X41" s="23"/>
      <c r="Y41" s="23"/>
    </row>
    <row r="42" spans="1:25" s="5" customFormat="1" ht="12.75" x14ac:dyDescent="0.2">
      <c r="A42" s="19"/>
      <c r="B42" s="106"/>
      <c r="C42" s="106"/>
      <c r="D42" s="106"/>
      <c r="E42" s="106"/>
      <c r="F42" s="106"/>
      <c r="G42" s="106"/>
      <c r="H42" s="106"/>
      <c r="I42" s="106"/>
      <c r="J42" s="106"/>
      <c r="K42" s="19"/>
      <c r="M42" s="26"/>
      <c r="N42" s="26"/>
      <c r="O42" s="26"/>
      <c r="P42" s="26"/>
      <c r="Q42" s="26"/>
      <c r="R42" s="27"/>
      <c r="S42" s="27"/>
      <c r="T42" s="23"/>
      <c r="U42" s="23"/>
      <c r="V42" s="23"/>
      <c r="W42" s="23"/>
      <c r="X42" s="23"/>
      <c r="Y42" s="23"/>
    </row>
    <row r="43" spans="1:25" s="5" customFormat="1" ht="12.75" x14ac:dyDescent="0.2">
      <c r="A43" s="19"/>
      <c r="B43" s="106"/>
      <c r="C43" s="106"/>
      <c r="D43" s="106"/>
      <c r="E43" s="106"/>
      <c r="F43" s="106"/>
      <c r="G43" s="106"/>
      <c r="H43" s="106"/>
      <c r="I43" s="106"/>
      <c r="J43" s="106"/>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6" t="s">
        <v>17</v>
      </c>
      <c r="C45" s="106"/>
      <c r="D45" s="106"/>
      <c r="E45" s="106"/>
      <c r="F45" s="106"/>
      <c r="G45" s="106"/>
      <c r="H45" s="106"/>
      <c r="I45" s="106"/>
      <c r="J45" s="106"/>
      <c r="K45" s="19"/>
      <c r="M45" s="26"/>
      <c r="N45" s="26"/>
      <c r="O45" s="26"/>
      <c r="P45" s="26"/>
      <c r="Q45" s="26"/>
      <c r="R45" s="27"/>
      <c r="S45" s="27"/>
      <c r="T45" s="23"/>
      <c r="U45" s="23"/>
      <c r="V45" s="23"/>
      <c r="W45" s="23"/>
      <c r="X45" s="23"/>
      <c r="Y45" s="23"/>
    </row>
    <row r="46" spans="1:25" s="5" customFormat="1" ht="12.75" x14ac:dyDescent="0.2">
      <c r="A46" s="19"/>
      <c r="B46" s="106"/>
      <c r="C46" s="106"/>
      <c r="D46" s="106"/>
      <c r="E46" s="106"/>
      <c r="F46" s="106"/>
      <c r="G46" s="106"/>
      <c r="H46" s="106"/>
      <c r="I46" s="106"/>
      <c r="J46" s="106"/>
      <c r="K46" s="19"/>
      <c r="M46" s="26"/>
      <c r="N46" s="26"/>
      <c r="O46" s="26"/>
      <c r="P46" s="26"/>
      <c r="Q46" s="26"/>
      <c r="R46" s="27"/>
      <c r="S46" s="27"/>
      <c r="T46" s="23"/>
      <c r="U46" s="23"/>
      <c r="V46" s="23"/>
      <c r="W46" s="23"/>
      <c r="X46" s="23"/>
      <c r="Y46" s="23"/>
    </row>
    <row r="47" spans="1:25" s="5" customFormat="1" ht="12.75" x14ac:dyDescent="0.2">
      <c r="A47" s="19"/>
      <c r="B47" s="106"/>
      <c r="C47" s="106"/>
      <c r="D47" s="106"/>
      <c r="E47" s="106"/>
      <c r="F47" s="106"/>
      <c r="G47" s="106"/>
      <c r="H47" s="106"/>
      <c r="I47" s="106"/>
      <c r="J47" s="106"/>
      <c r="K47" s="19"/>
      <c r="M47" s="26"/>
      <c r="N47" s="26"/>
      <c r="O47" s="26"/>
      <c r="P47" s="26"/>
      <c r="Q47" s="26"/>
      <c r="R47" s="27"/>
      <c r="S47" s="27"/>
      <c r="T47" s="23"/>
      <c r="U47" s="23"/>
      <c r="V47" s="23"/>
      <c r="W47" s="23"/>
      <c r="X47" s="23"/>
      <c r="Y47" s="23"/>
    </row>
    <row r="48" spans="1:25" s="5" customFormat="1" ht="12.75" customHeight="1" x14ac:dyDescent="0.2">
      <c r="A48" s="19"/>
      <c r="B48" s="106"/>
      <c r="C48" s="106"/>
      <c r="D48" s="106"/>
      <c r="E48" s="106"/>
      <c r="F48" s="106"/>
      <c r="G48" s="106"/>
      <c r="H48" s="106"/>
      <c r="I48" s="106"/>
      <c r="J48" s="106"/>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7" t="s">
        <v>28</v>
      </c>
      <c r="C54" s="107"/>
      <c r="D54" s="107"/>
      <c r="E54" s="107"/>
      <c r="F54" s="107"/>
      <c r="G54" s="107"/>
      <c r="H54" s="107"/>
      <c r="I54" s="107"/>
      <c r="J54" s="107"/>
      <c r="K54" s="19"/>
      <c r="M54" s="26"/>
      <c r="N54" s="26"/>
      <c r="O54" s="26"/>
      <c r="P54" s="26"/>
      <c r="Q54" s="26"/>
      <c r="R54" s="27"/>
      <c r="S54" s="27"/>
      <c r="T54" s="23"/>
      <c r="U54" s="23"/>
      <c r="V54" s="23"/>
      <c r="W54" s="23"/>
      <c r="X54" s="23"/>
      <c r="Y54" s="23"/>
    </row>
    <row r="55" spans="1:25" s="5" customFormat="1" ht="12.75" x14ac:dyDescent="0.2">
      <c r="A55" s="19"/>
      <c r="B55" s="107"/>
      <c r="C55" s="107"/>
      <c r="D55" s="107"/>
      <c r="E55" s="107"/>
      <c r="F55" s="107"/>
      <c r="G55" s="107"/>
      <c r="H55" s="107"/>
      <c r="I55" s="107"/>
      <c r="J55" s="107"/>
      <c r="K55" s="19"/>
      <c r="M55" s="26"/>
      <c r="N55" s="26"/>
      <c r="O55" s="26"/>
      <c r="P55" s="26"/>
      <c r="Q55" s="26"/>
      <c r="R55" s="27"/>
      <c r="S55" s="27"/>
      <c r="T55" s="23"/>
      <c r="U55" s="23"/>
      <c r="V55" s="23"/>
      <c r="W55" s="23"/>
      <c r="X55" s="23"/>
      <c r="Y55" s="23"/>
    </row>
    <row r="56" spans="1:25" s="5" customFormat="1" ht="12.75" x14ac:dyDescent="0.2">
      <c r="A56" s="19"/>
      <c r="B56" s="107"/>
      <c r="C56" s="107"/>
      <c r="D56" s="107"/>
      <c r="E56" s="107"/>
      <c r="F56" s="107"/>
      <c r="G56" s="107"/>
      <c r="H56" s="107"/>
      <c r="I56" s="107"/>
      <c r="J56" s="107"/>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70" zoomScaleNormal="100" zoomScaleSheetLayoutView="70" workbookViewId="0">
      <selection activeCell="G4" sqref="G4"/>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16384" width="9.140625" style="33"/>
  </cols>
  <sheetData>
    <row r="1" spans="1:39" s="5" customFormat="1" ht="12.75" x14ac:dyDescent="0.2">
      <c r="A1" s="1"/>
      <c r="B1" s="2" t="s">
        <v>1</v>
      </c>
      <c r="C1" s="3" t="s">
        <v>0</v>
      </c>
      <c r="D1" s="1"/>
      <c r="E1" s="1"/>
      <c r="F1" s="2" t="s">
        <v>8</v>
      </c>
      <c r="G1" s="4">
        <f>X1</f>
        <v>1</v>
      </c>
      <c r="H1" s="1"/>
      <c r="I1" s="1"/>
      <c r="J1" s="1"/>
      <c r="K1" s="1"/>
      <c r="M1" s="90" t="s">
        <v>93</v>
      </c>
      <c r="N1" s="90" t="s">
        <v>87</v>
      </c>
      <c r="O1" s="90" t="s">
        <v>92</v>
      </c>
      <c r="P1" s="90" t="s">
        <v>92</v>
      </c>
      <c r="Q1" s="90" t="s">
        <v>92</v>
      </c>
      <c r="R1" s="90" t="s">
        <v>91</v>
      </c>
      <c r="S1" s="89" t="s">
        <v>90</v>
      </c>
      <c r="T1" s="88" t="s">
        <v>89</v>
      </c>
      <c r="W1" s="6" t="s">
        <v>88</v>
      </c>
      <c r="X1" s="7">
        <f>SUM(M:M)</f>
        <v>1</v>
      </c>
    </row>
    <row r="2" spans="1:39" s="5" customFormat="1" ht="12.75" x14ac:dyDescent="0.2">
      <c r="A2" s="1"/>
      <c r="B2" s="2" t="s">
        <v>2</v>
      </c>
      <c r="C2" s="3" t="s">
        <v>7</v>
      </c>
      <c r="D2" s="1"/>
      <c r="E2" s="1"/>
      <c r="F2" s="2" t="s">
        <v>5</v>
      </c>
      <c r="G2" s="3" t="s">
        <v>95</v>
      </c>
      <c r="H2" s="1"/>
      <c r="I2" s="1"/>
      <c r="J2" s="1"/>
      <c r="K2" s="1"/>
      <c r="M2" s="78" t="s">
        <v>86</v>
      </c>
      <c r="N2" s="78" t="s">
        <v>86</v>
      </c>
      <c r="O2" s="78" t="s">
        <v>87</v>
      </c>
      <c r="P2" s="78" t="s">
        <v>87</v>
      </c>
      <c r="Q2" s="78" t="s">
        <v>87</v>
      </c>
      <c r="R2" s="78" t="s">
        <v>86</v>
      </c>
      <c r="S2" s="87" t="s">
        <v>86</v>
      </c>
      <c r="T2" s="83"/>
      <c r="W2" s="6" t="s">
        <v>85</v>
      </c>
      <c r="X2" s="7">
        <f>SUM(N:N)</f>
        <v>0</v>
      </c>
    </row>
    <row r="3" spans="1:39" s="5" customFormat="1" ht="12.75" x14ac:dyDescent="0.2">
      <c r="A3" s="1"/>
      <c r="B3" s="2" t="s">
        <v>3</v>
      </c>
      <c r="C3" s="8" t="s">
        <v>84</v>
      </c>
      <c r="D3" s="1"/>
      <c r="E3" s="1"/>
      <c r="F3" s="2" t="s">
        <v>4</v>
      </c>
      <c r="G3" s="3" t="s">
        <v>101</v>
      </c>
      <c r="H3" s="1"/>
      <c r="I3" s="1"/>
      <c r="J3" s="1"/>
      <c r="K3" s="1"/>
      <c r="M3" s="78"/>
      <c r="N3" s="78"/>
      <c r="O3" s="78"/>
      <c r="P3" s="78"/>
      <c r="Q3" s="78"/>
      <c r="R3" s="78"/>
      <c r="S3" s="87"/>
      <c r="T3" s="83"/>
      <c r="W3" s="6" t="s">
        <v>82</v>
      </c>
      <c r="X3" s="7">
        <f>SUM(O:O)</f>
        <v>0</v>
      </c>
    </row>
    <row r="4" spans="1:39" s="5" customFormat="1" ht="12.75" x14ac:dyDescent="0.2">
      <c r="A4" s="1"/>
      <c r="B4" s="2" t="s">
        <v>9</v>
      </c>
      <c r="C4" s="4"/>
      <c r="D4" s="1"/>
      <c r="E4" s="1"/>
      <c r="F4" s="2" t="s">
        <v>10</v>
      </c>
      <c r="G4" s="3" t="s">
        <v>96</v>
      </c>
      <c r="H4" s="1"/>
      <c r="I4" s="1"/>
      <c r="J4" s="1"/>
      <c r="K4" s="1"/>
      <c r="M4" s="78"/>
      <c r="N4" s="78"/>
      <c r="O4" s="78"/>
      <c r="P4" s="78"/>
      <c r="Q4" s="86"/>
      <c r="R4" s="85"/>
      <c r="S4" s="84"/>
      <c r="T4" s="83"/>
      <c r="W4" s="6" t="s">
        <v>82</v>
      </c>
      <c r="X4" s="7">
        <f>SUM(P:P)</f>
        <v>0</v>
      </c>
    </row>
    <row r="5" spans="1:39" s="5" customFormat="1" ht="12.75" x14ac:dyDescent="0.2">
      <c r="A5" s="1"/>
      <c r="B5" s="2" t="s">
        <v>11</v>
      </c>
      <c r="C5" s="4" t="s">
        <v>83</v>
      </c>
      <c r="D5" s="1"/>
      <c r="E5" s="2"/>
      <c r="F5" s="1"/>
      <c r="G5" s="1"/>
      <c r="H5" s="1"/>
      <c r="I5" s="1"/>
      <c r="J5" s="1"/>
      <c r="K5" s="1"/>
      <c r="M5" s="78"/>
      <c r="N5" s="78"/>
      <c r="O5" s="78"/>
      <c r="P5" s="78"/>
      <c r="Q5" s="86"/>
      <c r="R5" s="85"/>
      <c r="S5" s="84"/>
      <c r="T5" s="83"/>
      <c r="W5" s="6" t="s">
        <v>82</v>
      </c>
      <c r="X5" s="7">
        <f>SUM(Q:Q)</f>
        <v>0</v>
      </c>
    </row>
    <row r="6" spans="1:39" s="5" customFormat="1" ht="12.75" x14ac:dyDescent="0.2">
      <c r="A6" s="1"/>
      <c r="B6" s="1" t="s">
        <v>6</v>
      </c>
      <c r="C6" s="9"/>
      <c r="D6" s="1"/>
      <c r="E6" s="1"/>
      <c r="F6" s="1"/>
      <c r="G6" s="1"/>
      <c r="H6" s="1"/>
      <c r="I6" s="1"/>
      <c r="J6" s="1"/>
      <c r="K6" s="1"/>
      <c r="M6" s="78"/>
      <c r="N6" s="78"/>
      <c r="O6" s="78"/>
      <c r="P6" s="78"/>
      <c r="Q6" s="86"/>
      <c r="R6" s="85"/>
      <c r="S6" s="84"/>
      <c r="T6" s="83"/>
      <c r="W6" s="6" t="s">
        <v>81</v>
      </c>
      <c r="X6" s="7">
        <f>SUM(R:R)</f>
        <v>0</v>
      </c>
      <c r="Y6" s="58"/>
      <c r="Z6" s="37"/>
      <c r="AA6" s="58"/>
      <c r="AB6" s="58"/>
      <c r="AC6" s="72"/>
    </row>
    <row r="7" spans="1:39" s="5" customFormat="1" ht="12.75" x14ac:dyDescent="0.2">
      <c r="A7" s="1"/>
      <c r="B7" s="1"/>
      <c r="C7" s="1"/>
      <c r="D7" s="1"/>
      <c r="E7" s="1"/>
      <c r="F7" s="1"/>
      <c r="G7" s="1"/>
      <c r="H7" s="1"/>
      <c r="I7" s="1"/>
      <c r="J7" s="1"/>
      <c r="K7" s="1"/>
      <c r="M7" s="78"/>
      <c r="N7" s="78"/>
      <c r="O7" s="78"/>
      <c r="P7" s="78"/>
      <c r="Q7" s="86"/>
      <c r="R7" s="85"/>
      <c r="S7" s="84"/>
      <c r="T7" s="83"/>
      <c r="W7" s="6" t="s">
        <v>80</v>
      </c>
      <c r="X7" s="7">
        <f>SUM(S:S)</f>
        <v>0</v>
      </c>
      <c r="Y7" s="72"/>
      <c r="Z7" s="60"/>
      <c r="AA7" s="82"/>
      <c r="AB7" s="81"/>
      <c r="AC7" s="58"/>
    </row>
    <row r="8" spans="1:39" s="5" customFormat="1" ht="12.75" x14ac:dyDescent="0.2">
      <c r="A8" s="16"/>
      <c r="E8" s="6" t="s">
        <v>1</v>
      </c>
      <c r="F8" s="7" t="str">
        <f>$C$1</f>
        <v>R. Abbott</v>
      </c>
      <c r="H8" s="10"/>
      <c r="I8" s="6" t="s">
        <v>79</v>
      </c>
      <c r="J8" s="11" t="str">
        <f>$G$2</f>
        <v>AA-SM-026-013</v>
      </c>
      <c r="K8" s="12"/>
      <c r="L8" s="13"/>
      <c r="M8" s="78"/>
      <c r="N8" s="78"/>
      <c r="O8" s="78"/>
      <c r="P8" s="78"/>
      <c r="Q8" s="78"/>
      <c r="R8" s="78"/>
      <c r="S8" s="78"/>
      <c r="T8" s="78"/>
      <c r="Y8" s="58"/>
      <c r="Z8" s="70"/>
      <c r="AA8" s="37"/>
      <c r="AB8" s="80"/>
      <c r="AC8" s="58"/>
    </row>
    <row r="9" spans="1:39" s="5" customFormat="1" ht="12.75" x14ac:dyDescent="0.2">
      <c r="E9" s="6" t="s">
        <v>2</v>
      </c>
      <c r="F9" s="10" t="str">
        <f>$C$2</f>
        <v xml:space="preserve"> </v>
      </c>
      <c r="H9" s="10"/>
      <c r="I9" s="6" t="s">
        <v>78</v>
      </c>
      <c r="J9" s="12" t="str">
        <f>$G$3</f>
        <v>A</v>
      </c>
      <c r="K9" s="12"/>
      <c r="L9" s="13"/>
      <c r="M9" s="78">
        <v>1</v>
      </c>
      <c r="N9" s="78"/>
      <c r="O9" s="78"/>
      <c r="P9" s="78"/>
      <c r="Q9" s="78"/>
      <c r="R9" s="78"/>
      <c r="S9" s="78"/>
      <c r="T9" s="78"/>
      <c r="Y9" s="58"/>
      <c r="Z9" s="79"/>
      <c r="AA9" s="58"/>
      <c r="AB9" s="58"/>
      <c r="AC9" s="58"/>
    </row>
    <row r="10" spans="1:39" s="5" customFormat="1" ht="12.75" x14ac:dyDescent="0.2">
      <c r="E10" s="6" t="s">
        <v>3</v>
      </c>
      <c r="F10" s="10" t="str">
        <f>$C$3</f>
        <v>18/09/2016</v>
      </c>
      <c r="H10" s="10"/>
      <c r="I10" s="6" t="s">
        <v>77</v>
      </c>
      <c r="J10" s="7" t="str">
        <f>L10&amp;" of "&amp;$G$1</f>
        <v>1 of 1</v>
      </c>
      <c r="K10" s="10"/>
      <c r="L10" s="13">
        <f>SUM($M$1:M9)</f>
        <v>1</v>
      </c>
      <c r="M10" s="78"/>
      <c r="N10" s="78"/>
      <c r="O10" s="78"/>
      <c r="P10" s="78"/>
      <c r="Q10" s="78"/>
      <c r="R10" s="78"/>
      <c r="S10" s="78"/>
      <c r="T10" s="78"/>
      <c r="Y10" s="58"/>
      <c r="Z10" s="58"/>
      <c r="AA10" s="58"/>
      <c r="AB10" s="58"/>
      <c r="AC10" s="58"/>
    </row>
    <row r="11" spans="1:39" s="5" customFormat="1" ht="14.25" x14ac:dyDescent="0.25">
      <c r="E11" s="6" t="s">
        <v>76</v>
      </c>
      <c r="F11" s="10" t="str">
        <f>$C$5</f>
        <v>STANDARD SPREADSHEET METHOD</v>
      </c>
      <c r="I11" s="14"/>
      <c r="J11" s="7"/>
      <c r="M11" s="78"/>
      <c r="N11" s="78"/>
      <c r="O11" s="78"/>
      <c r="P11" s="78"/>
      <c r="Q11" s="78"/>
      <c r="R11" s="78"/>
      <c r="S11" s="78"/>
      <c r="T11" s="78"/>
      <c r="W11" s="60" t="s">
        <v>75</v>
      </c>
      <c r="X11" s="58">
        <v>0</v>
      </c>
      <c r="Y11" s="58" t="s">
        <v>39</v>
      </c>
      <c r="Z11" s="58"/>
      <c r="AA11" s="58"/>
      <c r="AB11" s="58"/>
      <c r="AC11" s="58"/>
    </row>
    <row r="12" spans="1:39" s="37" customFormat="1" x14ac:dyDescent="0.25">
      <c r="A12" s="39"/>
      <c r="B12" s="15" t="str">
        <f>$G$4</f>
        <v>SIMPLE BEAMS - SINGLE SPAN - UDL along Entire Length</v>
      </c>
      <c r="C12" s="39"/>
      <c r="D12" s="39"/>
      <c r="E12" s="39"/>
      <c r="F12" s="5"/>
      <c r="G12" s="5"/>
      <c r="H12" s="5"/>
      <c r="I12" s="14"/>
      <c r="J12" s="7"/>
      <c r="K12" s="5"/>
      <c r="L12" s="5"/>
      <c r="M12" s="78"/>
      <c r="N12" s="78"/>
      <c r="O12" s="77"/>
      <c r="P12" s="77"/>
      <c r="Q12" s="77"/>
      <c r="R12" s="77"/>
      <c r="S12" s="77"/>
      <c r="T12" s="77"/>
      <c r="U12" s="38"/>
      <c r="W12" s="60" t="s">
        <v>74</v>
      </c>
      <c r="X12" s="58">
        <v>0</v>
      </c>
      <c r="Y12" s="58" t="s">
        <v>42</v>
      </c>
      <c r="Z12" s="58"/>
      <c r="AA12" s="58"/>
      <c r="AB12" s="58"/>
      <c r="AC12" s="76"/>
      <c r="AL12" s="40"/>
      <c r="AM12" s="40"/>
    </row>
    <row r="13" spans="1:39" s="36" customFormat="1" ht="14.25" x14ac:dyDescent="0.25">
      <c r="A13" s="74"/>
      <c r="B13" s="109" t="s">
        <v>73</v>
      </c>
      <c r="C13" s="109"/>
      <c r="D13" s="109"/>
      <c r="E13" s="74" t="s">
        <v>72</v>
      </c>
      <c r="F13" s="75"/>
      <c r="G13" s="75"/>
      <c r="H13" s="75"/>
      <c r="I13" s="74"/>
      <c r="J13" s="74"/>
      <c r="K13" s="74"/>
      <c r="M13" s="35"/>
      <c r="N13" s="35"/>
      <c r="O13" s="35"/>
      <c r="P13" s="35"/>
      <c r="Q13" s="35"/>
      <c r="R13" s="35"/>
      <c r="S13" s="35"/>
      <c r="T13" s="35"/>
      <c r="U13" s="34"/>
      <c r="W13" s="60" t="s">
        <v>71</v>
      </c>
      <c r="X13" s="60">
        <v>0</v>
      </c>
      <c r="Y13" s="58" t="s">
        <v>32</v>
      </c>
      <c r="Z13" s="37"/>
      <c r="AA13" s="37"/>
      <c r="AB13" s="37"/>
      <c r="AC13" s="37"/>
    </row>
    <row r="14" spans="1:39" s="37" customFormat="1" ht="14.25" x14ac:dyDescent="0.25">
      <c r="A14" s="58"/>
      <c r="B14" s="73"/>
      <c r="C14" s="58"/>
      <c r="D14" s="58"/>
      <c r="E14" s="72"/>
      <c r="G14" s="58"/>
      <c r="H14" s="58"/>
      <c r="I14" s="57"/>
      <c r="J14" s="57"/>
      <c r="K14" s="57"/>
      <c r="L14" s="38"/>
      <c r="M14" s="35"/>
      <c r="N14" s="35"/>
      <c r="O14" s="35"/>
      <c r="P14" s="35"/>
      <c r="Q14" s="35"/>
      <c r="R14" s="35"/>
      <c r="S14" s="35"/>
      <c r="T14" s="35"/>
      <c r="U14" s="34"/>
      <c r="V14" s="38"/>
      <c r="W14" s="60" t="s">
        <v>70</v>
      </c>
      <c r="X14" s="58">
        <v>0</v>
      </c>
      <c r="Y14" s="58" t="s">
        <v>37</v>
      </c>
    </row>
    <row r="15" spans="1:39" s="37" customFormat="1" ht="12.75" x14ac:dyDescent="0.2">
      <c r="K15" s="57"/>
      <c r="L15" s="38"/>
      <c r="M15" s="35"/>
      <c r="N15" s="35"/>
      <c r="O15" s="35"/>
      <c r="P15" s="35"/>
      <c r="Q15" s="35"/>
      <c r="R15" s="35"/>
      <c r="S15" s="35"/>
      <c r="T15" s="35"/>
      <c r="U15" s="34"/>
      <c r="V15" s="38"/>
    </row>
    <row r="16" spans="1:39" s="37" customFormat="1" ht="12.75" x14ac:dyDescent="0.2">
      <c r="F16" s="71" t="s">
        <v>69</v>
      </c>
      <c r="G16" s="58"/>
      <c r="H16" s="58"/>
      <c r="I16" s="57"/>
      <c r="J16" s="57"/>
      <c r="K16" s="57"/>
      <c r="L16" s="38"/>
      <c r="M16" s="35"/>
      <c r="N16" s="35"/>
      <c r="O16" s="35"/>
      <c r="P16" s="35"/>
      <c r="Q16" s="35"/>
      <c r="R16" s="35"/>
      <c r="S16" s="35"/>
      <c r="T16" s="35"/>
      <c r="U16" s="34"/>
      <c r="V16" s="38"/>
      <c r="Y16" s="92">
        <f>G20</f>
        <v>40</v>
      </c>
    </row>
    <row r="17" spans="1:32" s="37" customFormat="1" ht="14.25" x14ac:dyDescent="0.25">
      <c r="F17" s="60" t="s">
        <v>68</v>
      </c>
      <c r="G17" s="67">
        <v>10000000</v>
      </c>
      <c r="H17" s="58" t="s">
        <v>67</v>
      </c>
      <c r="I17" s="57"/>
      <c r="J17" s="57"/>
      <c r="L17" s="38"/>
      <c r="M17" s="35"/>
      <c r="N17" s="35"/>
      <c r="O17" s="35"/>
      <c r="P17" s="35"/>
      <c r="Q17" s="35"/>
      <c r="R17" s="35"/>
      <c r="S17" s="35"/>
      <c r="T17" s="35"/>
      <c r="U17" s="34"/>
      <c r="V17" s="38"/>
      <c r="W17" s="70" t="s">
        <v>66</v>
      </c>
      <c r="X17" s="70" t="s">
        <v>65</v>
      </c>
      <c r="Y17" s="70" t="s">
        <v>64</v>
      </c>
      <c r="Z17" s="70" t="s">
        <v>63</v>
      </c>
      <c r="AA17" s="70" t="s">
        <v>62</v>
      </c>
      <c r="AB17" s="70" t="s">
        <v>61</v>
      </c>
      <c r="AC17" s="70" t="s">
        <v>60</v>
      </c>
      <c r="AD17" s="70" t="s">
        <v>59</v>
      </c>
    </row>
    <row r="18" spans="1:32" s="37" customFormat="1" ht="12.75" x14ac:dyDescent="0.2">
      <c r="F18" s="60" t="s">
        <v>58</v>
      </c>
      <c r="G18" s="69">
        <v>0.01</v>
      </c>
      <c r="H18" s="58" t="s">
        <v>57</v>
      </c>
      <c r="I18" s="57"/>
      <c r="J18" s="57"/>
      <c r="L18" s="38"/>
      <c r="M18" s="35"/>
      <c r="N18" s="35"/>
      <c r="O18" s="35"/>
      <c r="P18" s="35"/>
      <c r="Q18" s="35"/>
      <c r="R18" s="35"/>
      <c r="S18" s="35"/>
      <c r="T18" s="35"/>
      <c r="U18" s="34"/>
      <c r="V18" s="38"/>
      <c r="W18" s="44">
        <f>X11</f>
        <v>0</v>
      </c>
      <c r="X18" s="44">
        <f>B27</f>
        <v>680</v>
      </c>
      <c r="Y18" s="44">
        <f>B31</f>
        <v>-0.65506666666666669</v>
      </c>
      <c r="Z18" s="40">
        <f>X12</f>
        <v>0</v>
      </c>
      <c r="AA18" s="68">
        <f>G26</f>
        <v>-6.9600833333333334</v>
      </c>
      <c r="AB18" s="40">
        <f>X13</f>
        <v>0</v>
      </c>
      <c r="AC18" s="40">
        <f>X14</f>
        <v>0</v>
      </c>
      <c r="AD18" s="40">
        <f>G30</f>
        <v>5780</v>
      </c>
    </row>
    <row r="19" spans="1:32" s="37" customFormat="1" ht="12.75" x14ac:dyDescent="0.2">
      <c r="F19" s="60" t="s">
        <v>56</v>
      </c>
      <c r="G19" s="91">
        <v>34</v>
      </c>
      <c r="H19" s="58" t="s">
        <v>55</v>
      </c>
      <c r="I19" s="57"/>
      <c r="J19" s="57"/>
      <c r="K19" s="57"/>
      <c r="L19" s="38"/>
      <c r="M19" s="35"/>
      <c r="N19" s="35"/>
      <c r="O19" s="35"/>
      <c r="P19" s="35"/>
      <c r="Q19" s="35"/>
      <c r="R19" s="35"/>
      <c r="S19" s="35"/>
      <c r="T19" s="35"/>
      <c r="U19" s="34"/>
      <c r="V19" s="38"/>
      <c r="W19" s="38"/>
      <c r="X19" s="38"/>
      <c r="Y19" s="38"/>
      <c r="Z19" s="42"/>
      <c r="AA19" s="42"/>
      <c r="AB19" s="42"/>
      <c r="AC19" s="44" t="s">
        <v>54</v>
      </c>
      <c r="AD19" s="44" t="s">
        <v>53</v>
      </c>
      <c r="AE19" s="50" t="s">
        <v>52</v>
      </c>
      <c r="AF19" s="49" t="s">
        <v>51</v>
      </c>
    </row>
    <row r="20" spans="1:32" s="37" customFormat="1" ht="12.75" x14ac:dyDescent="0.2">
      <c r="F20" s="60" t="s">
        <v>97</v>
      </c>
      <c r="G20" s="91">
        <v>40</v>
      </c>
      <c r="H20" s="58" t="s">
        <v>98</v>
      </c>
      <c r="J20" s="57"/>
      <c r="K20" s="57"/>
      <c r="L20" s="38"/>
      <c r="M20" s="35"/>
      <c r="N20" s="35"/>
      <c r="O20" s="35"/>
      <c r="P20" s="35"/>
      <c r="Q20" s="35"/>
      <c r="R20" s="35"/>
      <c r="S20" s="35"/>
      <c r="T20" s="35"/>
      <c r="U20" s="34"/>
      <c r="V20" s="38"/>
      <c r="W20" s="38"/>
      <c r="X20" s="44" t="s">
        <v>54</v>
      </c>
      <c r="Y20" s="44" t="s">
        <v>53</v>
      </c>
      <c r="Z20" s="50" t="s">
        <v>52</v>
      </c>
      <c r="AA20" s="49" t="s">
        <v>51</v>
      </c>
      <c r="AB20" s="49"/>
      <c r="AC20" s="40" t="s">
        <v>46</v>
      </c>
      <c r="AD20" s="40" t="s">
        <v>48</v>
      </c>
      <c r="AE20" s="40" t="s">
        <v>47</v>
      </c>
      <c r="AF20" s="66" t="s">
        <v>46</v>
      </c>
    </row>
    <row r="21" spans="1:32" s="37" customFormat="1" ht="12.75" x14ac:dyDescent="0.2">
      <c r="F21" s="60" t="s">
        <v>50</v>
      </c>
      <c r="G21" s="59">
        <f>G19*G20</f>
        <v>1360</v>
      </c>
      <c r="H21" s="58" t="s">
        <v>49</v>
      </c>
      <c r="I21" s="57"/>
      <c r="K21" s="57"/>
      <c r="L21" s="38"/>
      <c r="M21" s="35"/>
      <c r="N21" s="35"/>
      <c r="O21" s="35"/>
      <c r="P21" s="35"/>
      <c r="Q21" s="35"/>
      <c r="R21" s="35"/>
      <c r="S21" s="35"/>
      <c r="T21" s="35"/>
      <c r="U21" s="34"/>
      <c r="V21" s="38"/>
      <c r="W21" s="38"/>
      <c r="X21" s="40" t="s">
        <v>46</v>
      </c>
      <c r="Y21" s="40" t="s">
        <v>48</v>
      </c>
      <c r="Z21" s="40" t="s">
        <v>47</v>
      </c>
      <c r="AA21" s="66" t="s">
        <v>46</v>
      </c>
      <c r="AB21" s="49"/>
      <c r="AC21" s="40">
        <v>0</v>
      </c>
      <c r="AD21" s="40">
        <v>0</v>
      </c>
      <c r="AE21" s="40">
        <v>0</v>
      </c>
    </row>
    <row r="22" spans="1:32" s="37" customFormat="1" ht="12.75" x14ac:dyDescent="0.2">
      <c r="F22" s="60"/>
      <c r="G22" s="92"/>
      <c r="H22" s="58"/>
      <c r="L22" s="38"/>
      <c r="M22" s="35"/>
      <c r="N22" s="35"/>
      <c r="O22" s="35"/>
      <c r="P22" s="35"/>
      <c r="Q22" s="35"/>
      <c r="R22" s="35"/>
      <c r="S22" s="35"/>
      <c r="T22" s="35"/>
      <c r="U22" s="34"/>
      <c r="V22" s="38"/>
      <c r="W22" s="40">
        <v>0</v>
      </c>
      <c r="X22" s="40">
        <v>0</v>
      </c>
      <c r="Y22" s="44">
        <f>$G$21/2*(1-2*X22/$G$19)</f>
        <v>680</v>
      </c>
      <c r="Z22" s="50">
        <f>$G$21/2*(X22-X22^2/$G$19)</f>
        <v>0</v>
      </c>
      <c r="AA22" s="49">
        <f>-($G$21*X22)/(24*$G$17*$G$18*$G$19)*($G$19^3-2*$G$19*X22^2+X22^3)</f>
        <v>0</v>
      </c>
      <c r="AB22" s="49"/>
      <c r="AC22" s="48">
        <f t="array" ref="AC22:AC55">IF(ISERROR(SMALL(X22:X55,ROW()-ROW(X21))),"",SMALL(X22:X55,ROW()-ROW(X21)))</f>
        <v>0</v>
      </c>
      <c r="AD22" s="51">
        <f>INDEX($Y$22:$Y$55,MATCH(AC22,$X$22:$X$55,0))</f>
        <v>680</v>
      </c>
      <c r="AE22" s="51">
        <f>INDEX(Z22:Z55,MATCH(AC22,X22:X55,0))</f>
        <v>0</v>
      </c>
      <c r="AF22" s="50">
        <f>INDEX(AA22:AA55,MATCH(AC22,X22:X55,0))</f>
        <v>0</v>
      </c>
    </row>
    <row r="23" spans="1:32" s="37" customFormat="1" ht="12.75" x14ac:dyDescent="0.2">
      <c r="B23" s="65" t="s">
        <v>45</v>
      </c>
      <c r="C23" s="64"/>
      <c r="D23" s="63"/>
      <c r="L23" s="38"/>
      <c r="M23" s="35"/>
      <c r="N23" s="35"/>
      <c r="O23" s="35"/>
      <c r="P23" s="35"/>
      <c r="Q23" s="35"/>
      <c r="R23" s="35"/>
      <c r="S23" s="35"/>
      <c r="T23" s="35"/>
      <c r="U23" s="34"/>
      <c r="V23" s="38"/>
      <c r="W23" s="44">
        <v>1</v>
      </c>
      <c r="X23" s="52">
        <f>G19/MAX(W22:W55)*W23</f>
        <v>1.1333333333333333</v>
      </c>
      <c r="Y23" s="44">
        <f t="shared" ref="Y23:Y55" si="0">$G$21/2*(1-2*X23/$G$19)</f>
        <v>634.66666666666663</v>
      </c>
      <c r="Z23" s="50">
        <f t="shared" ref="Z23:Z55" si="1">$G$21/2*(X23-X23^2/$G$19)</f>
        <v>744.97777777777787</v>
      </c>
      <c r="AA23" s="49">
        <f t="shared" ref="AA23:AA55" si="2">-($G$21*X23)/(24*$G$17*$G$18*$G$19)*($G$19^3-2*$G$19*X23^2+X23^3)</f>
        <v>-0.74078658798353902</v>
      </c>
      <c r="AB23" s="49"/>
      <c r="AC23" s="48">
        <v>1.1333333333333333</v>
      </c>
      <c r="AD23" s="51">
        <f t="shared" ref="AD23:AD54" si="3">INDEX($Y$22:$Y$55,MATCH(AC23,$X$22:$X$55,0))</f>
        <v>634.66666666666663</v>
      </c>
      <c r="AE23" s="51">
        <f>INDEX(Z22:Z55,MATCH(AC23,X22:X55,0))</f>
        <v>744.97777777777787</v>
      </c>
      <c r="AF23" s="50">
        <f>INDEX(AA22:AA55,MATCH(AC23,X22:X55,0))</f>
        <v>-0.74078658798353902</v>
      </c>
    </row>
    <row r="24" spans="1:32" s="37" customFormat="1" ht="14.25" x14ac:dyDescent="0.25">
      <c r="A24" s="60" t="s">
        <v>75</v>
      </c>
      <c r="B24" s="37" t="str">
        <f ca="1">[1]!xlv(B25)</f>
        <v>W / 2</v>
      </c>
      <c r="F24" s="60" t="s">
        <v>100</v>
      </c>
      <c r="G24" s="58" t="str">
        <f ca="1">[1]!xlv(G26)</f>
        <v xml:space="preserve"> - (5 / 384) × W × L³ / (E × I)</v>
      </c>
      <c r="H24" s="58"/>
      <c r="L24" s="38"/>
      <c r="M24" s="35"/>
      <c r="N24" s="35"/>
      <c r="O24" s="35"/>
      <c r="P24" s="35"/>
      <c r="Q24" s="35"/>
      <c r="R24" s="35"/>
      <c r="S24" s="35"/>
      <c r="T24" s="35"/>
      <c r="U24" s="34"/>
      <c r="V24" s="38"/>
      <c r="W24" s="44">
        <v>2</v>
      </c>
      <c r="X24" s="52">
        <f>G19/MAX(W22:W55)*W24</f>
        <v>2.2666666666666666</v>
      </c>
      <c r="Y24" s="44">
        <f t="shared" si="0"/>
        <v>589.33333333333337</v>
      </c>
      <c r="Z24" s="50">
        <f t="shared" si="1"/>
        <v>1438.5777777777778</v>
      </c>
      <c r="AA24" s="49">
        <f t="shared" si="2"/>
        <v>-1.4720593435390947</v>
      </c>
      <c r="AB24" s="49"/>
      <c r="AC24" s="48">
        <v>2.2666666666666666</v>
      </c>
      <c r="AD24" s="51">
        <f t="shared" si="3"/>
        <v>589.33333333333337</v>
      </c>
      <c r="AE24" s="51">
        <f>INDEX(Z22:Z55,MATCH(AC24,X22:X55,0))</f>
        <v>1438.5777777777778</v>
      </c>
      <c r="AF24" s="50">
        <f>INDEX(AA22:AA55,MATCH(AC24,X22:X55,0))</f>
        <v>-1.4720593435390947</v>
      </c>
    </row>
    <row r="25" spans="1:32" s="37" customFormat="1" ht="12.75" x14ac:dyDescent="0.2">
      <c r="A25" s="60" t="s">
        <v>41</v>
      </c>
      <c r="B25" s="59">
        <f>G21/2</f>
        <v>680</v>
      </c>
      <c r="C25" s="58" t="s">
        <v>39</v>
      </c>
      <c r="F25" s="60" t="s">
        <v>41</v>
      </c>
      <c r="G25" s="37" t="str">
        <f>[1]!xln(G26)</f>
        <v xml:space="preserve"> - (5 / 384) × 1360 × 34³ / ((1E+07) × 0.01)</v>
      </c>
      <c r="H25" s="58"/>
      <c r="L25" s="38"/>
      <c r="M25" s="35"/>
      <c r="N25" s="35"/>
      <c r="O25" s="35"/>
      <c r="P25" s="35"/>
      <c r="Q25" s="35"/>
      <c r="R25" s="35"/>
      <c r="S25" s="35"/>
      <c r="T25" s="35"/>
      <c r="U25" s="34"/>
      <c r="V25" s="38"/>
      <c r="W25" s="44">
        <v>3</v>
      </c>
      <c r="X25" s="52">
        <f>G19/MAX(W22:W55)*W25</f>
        <v>3.4</v>
      </c>
      <c r="Y25" s="44">
        <f t="shared" si="0"/>
        <v>544</v>
      </c>
      <c r="Z25" s="50">
        <f t="shared" si="1"/>
        <v>2080.8000000000002</v>
      </c>
      <c r="AA25" s="49">
        <f t="shared" si="2"/>
        <v>-2.1849093599999998</v>
      </c>
      <c r="AB25" s="49"/>
      <c r="AC25" s="48">
        <v>3.4</v>
      </c>
      <c r="AD25" s="51">
        <f t="shared" si="3"/>
        <v>544</v>
      </c>
      <c r="AE25" s="51">
        <f>INDEX(Z22:Z55,MATCH(AC25,X22:X55,0))</f>
        <v>2080.8000000000002</v>
      </c>
      <c r="AF25" s="50">
        <f>INDEX(AA22:AA55,MATCH(AC25,X22:X55,0))</f>
        <v>-2.1849093599999998</v>
      </c>
    </row>
    <row r="26" spans="1:32" s="37" customFormat="1" ht="14.25" x14ac:dyDescent="0.25">
      <c r="A26" s="60" t="s">
        <v>44</v>
      </c>
      <c r="B26" s="37" t="str">
        <f ca="1">[1]!xlv(B27)</f>
        <v>W / 2</v>
      </c>
      <c r="F26" s="60" t="s">
        <v>41</v>
      </c>
      <c r="G26" s="62">
        <f>-(5/384)*$G$21*G19^3/($G$17*$G$18)</f>
        <v>-6.9600833333333334</v>
      </c>
      <c r="H26" s="58" t="s">
        <v>32</v>
      </c>
      <c r="L26" s="38"/>
      <c r="M26" s="35"/>
      <c r="N26" s="35"/>
      <c r="O26" s="35"/>
      <c r="P26" s="35"/>
      <c r="Q26" s="35"/>
      <c r="R26" s="35"/>
      <c r="S26" s="35"/>
      <c r="T26" s="35"/>
      <c r="U26" s="34"/>
      <c r="V26" s="38"/>
      <c r="W26" s="44">
        <v>4</v>
      </c>
      <c r="X26" s="52">
        <f>G19/MAX(W22:W55)*W26</f>
        <v>4.5333333333333332</v>
      </c>
      <c r="Y26" s="44">
        <f t="shared" si="0"/>
        <v>498.66666666666669</v>
      </c>
      <c r="Z26" s="50">
        <f t="shared" si="1"/>
        <v>2671.6444444444446</v>
      </c>
      <c r="AA26" s="49">
        <f t="shared" si="2"/>
        <v>-2.8710876497119342</v>
      </c>
      <c r="AB26" s="49"/>
      <c r="AC26" s="48">
        <v>4.5333333333333332</v>
      </c>
      <c r="AD26" s="51">
        <f t="shared" si="3"/>
        <v>498.66666666666669</v>
      </c>
      <c r="AE26" s="51">
        <f>INDEX(Z22:Z55,MATCH(AC26,X22:X55,0))</f>
        <v>2671.6444444444446</v>
      </c>
      <c r="AF26" s="50">
        <f>INDEX(AA22:AA55,MATCH(AC26,X22:X55,0))</f>
        <v>-2.8710876497119342</v>
      </c>
    </row>
    <row r="27" spans="1:32" s="37" customFormat="1" ht="12.75" x14ac:dyDescent="0.2">
      <c r="A27" s="60" t="s">
        <v>41</v>
      </c>
      <c r="B27" s="59">
        <f>G21/2</f>
        <v>680</v>
      </c>
      <c r="C27" s="58" t="s">
        <v>39</v>
      </c>
      <c r="L27" s="38"/>
      <c r="M27" s="35"/>
      <c r="N27" s="35"/>
      <c r="O27" s="35"/>
      <c r="P27" s="35"/>
      <c r="Q27" s="35"/>
      <c r="R27" s="35"/>
      <c r="S27" s="35"/>
      <c r="T27" s="35"/>
      <c r="U27" s="34"/>
      <c r="V27" s="38"/>
      <c r="W27" s="44">
        <v>5</v>
      </c>
      <c r="X27" s="52">
        <f>G19/MAX(W22:W55)*W27</f>
        <v>5.6666666666666661</v>
      </c>
      <c r="Y27" s="44">
        <f t="shared" si="0"/>
        <v>453.33333333333337</v>
      </c>
      <c r="Z27" s="50">
        <f t="shared" si="1"/>
        <v>3211.1111111111104</v>
      </c>
      <c r="AA27" s="49">
        <f t="shared" si="2"/>
        <v>-3.523005144032922</v>
      </c>
      <c r="AB27" s="49"/>
      <c r="AC27" s="48">
        <v>5.6666666666666661</v>
      </c>
      <c r="AD27" s="51">
        <f t="shared" si="3"/>
        <v>453.33333333333337</v>
      </c>
      <c r="AE27" s="51">
        <f>INDEX(Z22:Z55,MATCH(AC27,X22:X55,0))</f>
        <v>3211.1111111111104</v>
      </c>
      <c r="AF27" s="50">
        <f>INDEX(AA22:AA55,MATCH(AC27,X22:X55,0))</f>
        <v>-3.523005144032922</v>
      </c>
    </row>
    <row r="28" spans="1:32" s="37" customFormat="1" ht="12.75" x14ac:dyDescent="0.2">
      <c r="F28" s="60" t="s">
        <v>99</v>
      </c>
      <c r="G28" s="58" t="str">
        <f ca="1">[1]!xlv(G30)</f>
        <v>W × L / 8</v>
      </c>
      <c r="H28" s="58"/>
      <c r="L28" s="38"/>
      <c r="M28" s="35"/>
      <c r="N28" s="35"/>
      <c r="O28" s="35"/>
      <c r="P28" s="35"/>
      <c r="Q28" s="35"/>
      <c r="R28" s="35"/>
      <c r="S28" s="35"/>
      <c r="T28" s="35"/>
      <c r="U28" s="34"/>
      <c r="V28" s="38"/>
      <c r="W28" s="44">
        <v>6</v>
      </c>
      <c r="X28" s="52">
        <f>G19/MAX(W22:W55)*W28</f>
        <v>6.8</v>
      </c>
      <c r="Y28" s="44">
        <f t="shared" si="0"/>
        <v>408.00000000000006</v>
      </c>
      <c r="Z28" s="50">
        <f t="shared" si="1"/>
        <v>3699.2</v>
      </c>
      <c r="AA28" s="49">
        <f t="shared" si="2"/>
        <v>-4.1337326933333332</v>
      </c>
      <c r="AB28" s="49"/>
      <c r="AC28" s="48">
        <v>6.8</v>
      </c>
      <c r="AD28" s="51">
        <f t="shared" si="3"/>
        <v>408.00000000000006</v>
      </c>
      <c r="AE28" s="51">
        <f>INDEX(Z22:Z55,MATCH(AC28,X22:X55,0))</f>
        <v>3699.2</v>
      </c>
      <c r="AF28" s="50">
        <f>INDEX(AA22:AA55,MATCH(AC28,X22:X55,0))</f>
        <v>-4.1337326933333332</v>
      </c>
    </row>
    <row r="29" spans="1:32" s="37" customFormat="1" ht="14.25" x14ac:dyDescent="0.25">
      <c r="A29" s="60" t="s">
        <v>43</v>
      </c>
      <c r="B29" s="58" t="str">
        <f ca="1">[1]!xlv(B31)</f>
        <v xml:space="preserve"> - W × L² / (24 × E × I)</v>
      </c>
      <c r="C29" s="58"/>
      <c r="F29" s="60" t="s">
        <v>41</v>
      </c>
      <c r="G29" s="37" t="str">
        <f>[1]!xln(G30)</f>
        <v>1360 × 34 / 8</v>
      </c>
      <c r="H29" s="58"/>
      <c r="L29" s="38"/>
      <c r="M29" s="35"/>
      <c r="N29" s="35"/>
      <c r="O29" s="35"/>
      <c r="P29" s="35"/>
      <c r="Q29" s="35"/>
      <c r="R29" s="35"/>
      <c r="S29" s="35"/>
      <c r="T29" s="35"/>
      <c r="U29" s="34"/>
      <c r="V29" s="38"/>
      <c r="W29" s="44">
        <v>7</v>
      </c>
      <c r="X29" s="52">
        <f>G19/MAX(W22:W55)*W29</f>
        <v>7.9333333333333336</v>
      </c>
      <c r="Y29" s="44">
        <f t="shared" si="0"/>
        <v>362.66666666666669</v>
      </c>
      <c r="Z29" s="50">
        <f t="shared" si="1"/>
        <v>4135.9111111111115</v>
      </c>
      <c r="AA29" s="49">
        <f t="shared" si="2"/>
        <v>-4.6970010669958864</v>
      </c>
      <c r="AB29" s="49"/>
      <c r="AC29" s="48">
        <v>7.9333333333333336</v>
      </c>
      <c r="AD29" s="51">
        <f t="shared" si="3"/>
        <v>362.66666666666669</v>
      </c>
      <c r="AE29" s="51">
        <f>INDEX(Z22:Z55,MATCH(AC29,X22:X55,0))</f>
        <v>4135.9111111111115</v>
      </c>
      <c r="AF29" s="50">
        <f>INDEX(AA22:AA55,MATCH(AC29,X22:X55,0))</f>
        <v>-4.6970010669958864</v>
      </c>
    </row>
    <row r="30" spans="1:32" s="37" customFormat="1" ht="12.75" x14ac:dyDescent="0.2">
      <c r="A30" s="60" t="s">
        <v>41</v>
      </c>
      <c r="B30" s="37" t="str">
        <f>[1]!xln(B31)</f>
        <v xml:space="preserve"> - 1360 × 34² / (24 × (1E+07) × 0.01)</v>
      </c>
      <c r="C30" s="58"/>
      <c r="F30" s="60" t="s">
        <v>41</v>
      </c>
      <c r="G30" s="59">
        <f>G21*G19/8</f>
        <v>5780</v>
      </c>
      <c r="H30" s="58" t="s">
        <v>37</v>
      </c>
      <c r="J30" s="57"/>
      <c r="L30" s="38"/>
      <c r="M30" s="35"/>
      <c r="N30" s="35"/>
      <c r="O30" s="35"/>
      <c r="P30" s="35"/>
      <c r="Q30" s="35"/>
      <c r="R30" s="35"/>
      <c r="S30" s="35"/>
      <c r="T30" s="35"/>
      <c r="U30" s="34"/>
      <c r="V30" s="38"/>
      <c r="W30" s="44">
        <v>8</v>
      </c>
      <c r="X30" s="52">
        <f>G19/MAX(W22:W55)*W30</f>
        <v>9.0666666666666664</v>
      </c>
      <c r="Y30" s="44">
        <f t="shared" si="0"/>
        <v>317.33333333333331</v>
      </c>
      <c r="Z30" s="50">
        <f t="shared" si="1"/>
        <v>4521.2444444444445</v>
      </c>
      <c r="AA30" s="49">
        <f t="shared" si="2"/>
        <v>-5.2072009534156383</v>
      </c>
      <c r="AB30" s="49"/>
      <c r="AC30" s="48">
        <v>9.0666666666666664</v>
      </c>
      <c r="AD30" s="51">
        <f t="shared" si="3"/>
        <v>317.33333333333331</v>
      </c>
      <c r="AE30" s="51">
        <f>INDEX(Z22:Z55,MATCH(AC30,X22:X55,0))</f>
        <v>4521.2444444444445</v>
      </c>
      <c r="AF30" s="50">
        <f>INDEX(AA22:AA55,MATCH(AC30,X22:X55,0))</f>
        <v>-5.2072009534156383</v>
      </c>
    </row>
    <row r="31" spans="1:32" s="37" customFormat="1" ht="12.75" x14ac:dyDescent="0.2">
      <c r="A31" s="60" t="s">
        <v>41</v>
      </c>
      <c r="B31" s="61">
        <f>-G21*G19^2/(24*G17*G18)</f>
        <v>-0.65506666666666669</v>
      </c>
      <c r="C31" s="58" t="s">
        <v>42</v>
      </c>
      <c r="J31" s="57"/>
      <c r="L31" s="38"/>
      <c r="M31" s="35"/>
      <c r="N31" s="35"/>
      <c r="O31" s="35"/>
      <c r="P31" s="35"/>
      <c r="Q31" s="35"/>
      <c r="R31" s="35"/>
      <c r="S31" s="35"/>
      <c r="T31" s="35"/>
      <c r="U31" s="34"/>
      <c r="V31" s="38"/>
      <c r="W31" s="44">
        <v>9</v>
      </c>
      <c r="X31" s="52">
        <f>G19/MAX(W22:W55)*W31</f>
        <v>10.199999999999999</v>
      </c>
      <c r="Y31" s="44">
        <f t="shared" si="0"/>
        <v>272</v>
      </c>
      <c r="Z31" s="50">
        <f t="shared" si="1"/>
        <v>4855.2</v>
      </c>
      <c r="AA31" s="49">
        <f t="shared" si="2"/>
        <v>-5.6593829599999994</v>
      </c>
      <c r="AB31" s="49"/>
      <c r="AC31" s="48">
        <v>10.199999999999999</v>
      </c>
      <c r="AD31" s="51">
        <f t="shared" si="3"/>
        <v>272</v>
      </c>
      <c r="AE31" s="51">
        <f>INDEX(Z22:Z55,MATCH(AC31,X22:X55,0))</f>
        <v>4855.2</v>
      </c>
      <c r="AF31" s="50">
        <f>INDEX(AA22:AA55,MATCH(AC31,X22:X55,0))</f>
        <v>-5.6593829599999994</v>
      </c>
    </row>
    <row r="32" spans="1:32" s="37" customFormat="1" ht="14.25" x14ac:dyDescent="0.25">
      <c r="A32" s="60" t="s">
        <v>94</v>
      </c>
      <c r="B32" s="58" t="str">
        <f ca="1">[1]!xlv(B34)</f>
        <v>W × L² / (24 × E × I)</v>
      </c>
      <c r="C32" s="58"/>
      <c r="J32" s="57"/>
      <c r="L32" s="38"/>
      <c r="M32" s="35"/>
      <c r="N32" s="35"/>
      <c r="O32" s="35"/>
      <c r="P32" s="35"/>
      <c r="Q32" s="35"/>
      <c r="R32" s="35"/>
      <c r="S32" s="35"/>
      <c r="T32" s="35"/>
      <c r="U32" s="34"/>
      <c r="V32" s="38"/>
      <c r="W32" s="44">
        <v>10</v>
      </c>
      <c r="X32" s="52">
        <f>G19/MAX(W22:W55)*W32</f>
        <v>11.333333333333332</v>
      </c>
      <c r="Y32" s="44">
        <f t="shared" si="0"/>
        <v>226.66666666666669</v>
      </c>
      <c r="Z32" s="50">
        <f t="shared" si="1"/>
        <v>5137.7777777777774</v>
      </c>
      <c r="AA32" s="49">
        <f t="shared" si="2"/>
        <v>-6.0492576131687246</v>
      </c>
      <c r="AB32" s="49"/>
      <c r="AC32" s="48">
        <v>11.333333333333332</v>
      </c>
      <c r="AD32" s="51">
        <f t="shared" si="3"/>
        <v>226.66666666666669</v>
      </c>
      <c r="AE32" s="51">
        <f>INDEX(Z22:Z55,MATCH(AC32,X22:X55,0))</f>
        <v>5137.7777777777774</v>
      </c>
      <c r="AF32" s="50">
        <f>INDEX(AA22:AA55,MATCH(AC32,X22:X55,0))</f>
        <v>-6.0492576131687246</v>
      </c>
    </row>
    <row r="33" spans="1:32" s="37" customFormat="1" ht="12.75" x14ac:dyDescent="0.2">
      <c r="A33" s="60" t="s">
        <v>41</v>
      </c>
      <c r="B33" s="37" t="str">
        <f>[1]!xln(B34)</f>
        <v>1360 × 34² / (24 × (1E+07) × 0.01)</v>
      </c>
      <c r="C33" s="58"/>
      <c r="L33" s="38"/>
      <c r="M33" s="35"/>
      <c r="N33" s="35"/>
      <c r="O33" s="35"/>
      <c r="P33" s="35"/>
      <c r="Q33" s="35"/>
      <c r="R33" s="35"/>
      <c r="S33" s="35"/>
      <c r="T33" s="35"/>
      <c r="U33" s="34"/>
      <c r="V33" s="38"/>
      <c r="W33" s="44">
        <v>11</v>
      </c>
      <c r="X33" s="52">
        <f>G19/MAX(W22:W55)*W33</f>
        <v>12.466666666666667</v>
      </c>
      <c r="Y33" s="44">
        <f t="shared" si="0"/>
        <v>181.33333333333329</v>
      </c>
      <c r="Z33" s="50">
        <f t="shared" si="1"/>
        <v>5368.9777777777772</v>
      </c>
      <c r="AA33" s="49">
        <f t="shared" si="2"/>
        <v>-6.37319535835391</v>
      </c>
      <c r="AB33" s="49"/>
      <c r="AC33" s="48">
        <v>12.466666666666667</v>
      </c>
      <c r="AD33" s="51">
        <f t="shared" si="3"/>
        <v>181.33333333333329</v>
      </c>
      <c r="AE33" s="51">
        <f>INDEX(Z22:Z55,MATCH(AC33,X22:X55,0))</f>
        <v>5368.9777777777772</v>
      </c>
      <c r="AF33" s="50">
        <f>INDEX(AA22:AA55,MATCH(AC33,X22:X55,0))</f>
        <v>-6.37319535835391</v>
      </c>
    </row>
    <row r="34" spans="1:32" s="37" customFormat="1" ht="12.75" x14ac:dyDescent="0.2">
      <c r="A34" s="60" t="s">
        <v>41</v>
      </c>
      <c r="B34" s="61">
        <f>G21*G19^2/(24*G17*G18)</f>
        <v>0.65506666666666669</v>
      </c>
      <c r="C34" s="58" t="s">
        <v>42</v>
      </c>
      <c r="I34" s="56" t="s">
        <v>40</v>
      </c>
      <c r="J34" s="38"/>
      <c r="K34" s="38"/>
      <c r="L34" s="38"/>
      <c r="M34" s="35"/>
      <c r="N34" s="35"/>
      <c r="O34" s="35"/>
      <c r="P34" s="35"/>
      <c r="Q34" s="35"/>
      <c r="R34" s="35"/>
      <c r="S34" s="35"/>
      <c r="T34" s="35"/>
      <c r="U34" s="34"/>
      <c r="V34" s="38"/>
      <c r="W34" s="44">
        <v>12</v>
      </c>
      <c r="X34" s="52">
        <f>G19/MAX(W22:W55)*W34</f>
        <v>13.6</v>
      </c>
      <c r="Y34" s="44">
        <f t="shared" si="0"/>
        <v>136.00000000000006</v>
      </c>
      <c r="Z34" s="50">
        <f t="shared" si="1"/>
        <v>5548.8</v>
      </c>
      <c r="AA34" s="49">
        <f t="shared" si="2"/>
        <v>-6.6282265599999999</v>
      </c>
      <c r="AB34" s="49"/>
      <c r="AC34" s="48">
        <v>13.6</v>
      </c>
      <c r="AD34" s="51">
        <f t="shared" si="3"/>
        <v>136.00000000000006</v>
      </c>
      <c r="AE34" s="51">
        <f>INDEX(Z22:Z55,MATCH(AC34,X22:X55,0))</f>
        <v>5548.8</v>
      </c>
      <c r="AF34" s="50">
        <f>INDEX(AA22:AA55,MATCH(AC34,X22:X55,0))</f>
        <v>-6.6282265599999999</v>
      </c>
    </row>
    <row r="35" spans="1:32" s="37" customFormat="1" ht="12.75" x14ac:dyDescent="0.2">
      <c r="I35" s="47" t="s">
        <v>34</v>
      </c>
      <c r="J35" s="93">
        <f>MAX(AD21:AD54)</f>
        <v>680</v>
      </c>
      <c r="K35" s="38" t="s">
        <v>39</v>
      </c>
      <c r="L35" s="38"/>
      <c r="M35" s="35"/>
      <c r="N35" s="35"/>
      <c r="O35" s="35"/>
      <c r="P35" s="35"/>
      <c r="Q35" s="35"/>
      <c r="R35" s="35"/>
      <c r="S35" s="35"/>
      <c r="T35" s="35"/>
      <c r="U35" s="34"/>
      <c r="V35" s="38"/>
      <c r="W35" s="44">
        <v>13</v>
      </c>
      <c r="X35" s="52">
        <f>G19/MAX(W22:W55)*W35</f>
        <v>14.733333333333333</v>
      </c>
      <c r="Y35" s="44">
        <f t="shared" si="0"/>
        <v>90.666666666666728</v>
      </c>
      <c r="Z35" s="50">
        <f t="shared" si="1"/>
        <v>5677.2444444444445</v>
      </c>
      <c r="AA35" s="49">
        <f t="shared" si="2"/>
        <v>-6.8120415015637867</v>
      </c>
      <c r="AB35" s="49"/>
      <c r="AC35" s="48">
        <v>14.733333333333333</v>
      </c>
      <c r="AD35" s="51">
        <f t="shared" si="3"/>
        <v>90.666666666666728</v>
      </c>
      <c r="AE35" s="51">
        <f>INDEX(Z22:Z55,MATCH(AC35,X22:X55,0))</f>
        <v>5677.2444444444445</v>
      </c>
      <c r="AF35" s="50">
        <f>INDEX(AA22:AA55,MATCH(AC35,X22:X55,0))</f>
        <v>-6.8120415015637867</v>
      </c>
    </row>
    <row r="36" spans="1:32" s="37" customFormat="1" ht="12.75" x14ac:dyDescent="0.2">
      <c r="I36" s="47" t="s">
        <v>33</v>
      </c>
      <c r="J36" s="93">
        <f>MIN(AD21:AD54)</f>
        <v>-680.00040000000013</v>
      </c>
      <c r="K36" s="38" t="s">
        <v>39</v>
      </c>
      <c r="L36" s="38"/>
      <c r="M36" s="35"/>
      <c r="N36" s="35"/>
      <c r="O36" s="35"/>
      <c r="P36" s="35"/>
      <c r="Q36" s="35"/>
      <c r="R36" s="35"/>
      <c r="S36" s="35"/>
      <c r="T36" s="35"/>
      <c r="U36" s="34"/>
      <c r="V36" s="38"/>
      <c r="W36" s="44">
        <v>14</v>
      </c>
      <c r="X36" s="52">
        <f>G19/MAX(W22:W55)*W36</f>
        <v>15.866666666666667</v>
      </c>
      <c r="Y36" s="44">
        <f t="shared" si="0"/>
        <v>45.333333333333321</v>
      </c>
      <c r="Z36" s="50">
        <f t="shared" si="1"/>
        <v>5754.311111111112</v>
      </c>
      <c r="AA36" s="49">
        <f t="shared" si="2"/>
        <v>-6.9229903855144048</v>
      </c>
      <c r="AB36" s="49"/>
      <c r="AC36" s="48">
        <v>15.866666666666667</v>
      </c>
      <c r="AD36" s="51">
        <f t="shared" si="3"/>
        <v>45.333333333333321</v>
      </c>
      <c r="AE36" s="51">
        <f>INDEX(Z22:Z55,MATCH(AC36,X22:X55,0))</f>
        <v>5754.311111111112</v>
      </c>
      <c r="AF36" s="50">
        <f>INDEX(AA22:AA55,MATCH(AC36,X22:X55,0))</f>
        <v>-6.9229903855144048</v>
      </c>
    </row>
    <row r="37" spans="1:32" s="37" customFormat="1" ht="12.75" x14ac:dyDescent="0.2">
      <c r="I37" s="45" t="s">
        <v>35</v>
      </c>
      <c r="J37" s="38"/>
      <c r="K37" s="38"/>
      <c r="L37" s="38"/>
      <c r="M37" s="35"/>
      <c r="N37" s="35"/>
      <c r="O37" s="35"/>
      <c r="P37" s="35"/>
      <c r="Q37" s="35"/>
      <c r="R37" s="35"/>
      <c r="S37" s="35"/>
      <c r="T37" s="35"/>
      <c r="U37" s="34"/>
      <c r="V37" s="38"/>
      <c r="W37" s="44">
        <v>15</v>
      </c>
      <c r="X37" s="52">
        <f>G19/MAX(W22:W55)*W37</f>
        <v>17</v>
      </c>
      <c r="Y37" s="44">
        <f t="shared" si="0"/>
        <v>0</v>
      </c>
      <c r="Z37" s="50">
        <f t="shared" si="1"/>
        <v>5780</v>
      </c>
      <c r="AA37" s="49">
        <f t="shared" si="2"/>
        <v>-6.9600833333333334</v>
      </c>
      <c r="AB37" s="49"/>
      <c r="AC37" s="48">
        <v>17</v>
      </c>
      <c r="AD37" s="51">
        <f t="shared" si="3"/>
        <v>0</v>
      </c>
      <c r="AE37" s="51">
        <f>INDEX(Z22:Z55,MATCH(AC37,X22:X55,0))</f>
        <v>5780</v>
      </c>
      <c r="AF37" s="50">
        <f>INDEX(AA22:AA55,MATCH(AC37,X22:X55,0))</f>
        <v>-6.9600833333333334</v>
      </c>
    </row>
    <row r="38" spans="1:32" s="37" customFormat="1" ht="12.75" x14ac:dyDescent="0.2">
      <c r="I38" s="47" t="s">
        <v>34</v>
      </c>
      <c r="J38" s="46">
        <f>INDEX(AC21:AC54,MATCH(J35,AD21:AD54,0))</f>
        <v>0</v>
      </c>
      <c r="K38" s="38" t="s">
        <v>32</v>
      </c>
      <c r="L38" s="38"/>
      <c r="M38" s="35"/>
      <c r="N38" s="35"/>
      <c r="O38" s="35"/>
      <c r="P38" s="35"/>
      <c r="Q38" s="35"/>
      <c r="R38" s="35"/>
      <c r="S38" s="35"/>
      <c r="T38" s="35"/>
      <c r="U38" s="34"/>
      <c r="V38" s="38"/>
      <c r="W38" s="44">
        <v>16</v>
      </c>
      <c r="X38" s="52">
        <f>G19/MAX(W22:W55)*W38</f>
        <v>18.133333333333333</v>
      </c>
      <c r="Y38" s="44">
        <f t="shared" si="0"/>
        <v>-45.333333333333321</v>
      </c>
      <c r="Z38" s="50">
        <f t="shared" si="1"/>
        <v>5754.311111111112</v>
      </c>
      <c r="AA38" s="49">
        <f t="shared" si="2"/>
        <v>-6.9229903855144039</v>
      </c>
      <c r="AB38" s="49"/>
      <c r="AC38" s="48">
        <v>18.133333333333333</v>
      </c>
      <c r="AD38" s="51">
        <f t="shared" si="3"/>
        <v>-45.333333333333321</v>
      </c>
      <c r="AE38" s="51">
        <f>INDEX(Z22:Z55,MATCH(AC38,X22:X55,0))</f>
        <v>5754.311111111112</v>
      </c>
      <c r="AF38" s="50">
        <f>INDEX(AA22:AA55,MATCH(AC38,X22:X55,0))</f>
        <v>-6.9229903855144039</v>
      </c>
    </row>
    <row r="39" spans="1:32" s="37" customFormat="1" ht="12.75" x14ac:dyDescent="0.2">
      <c r="I39" s="47" t="s">
        <v>33</v>
      </c>
      <c r="J39" s="46">
        <f>INDEX(AC21:AC54,MATCH(J36,AD21:AD54,0))</f>
        <v>34.000010000000003</v>
      </c>
      <c r="K39" s="45" t="s">
        <v>32</v>
      </c>
      <c r="L39" s="38"/>
      <c r="M39" s="35"/>
      <c r="N39" s="35"/>
      <c r="O39" s="35"/>
      <c r="P39" s="35"/>
      <c r="Q39" s="35"/>
      <c r="R39" s="35"/>
      <c r="S39" s="35"/>
      <c r="T39" s="35"/>
      <c r="U39" s="34"/>
      <c r="V39" s="38"/>
      <c r="W39" s="44">
        <v>17</v>
      </c>
      <c r="X39" s="52">
        <f>G19/MAX(W22:W55)*W39</f>
        <v>19.266666666666666</v>
      </c>
      <c r="Y39" s="44">
        <f t="shared" si="0"/>
        <v>-90.666666666666643</v>
      </c>
      <c r="Z39" s="50">
        <f t="shared" si="1"/>
        <v>5677.2444444444454</v>
      </c>
      <c r="AA39" s="49">
        <f t="shared" si="2"/>
        <v>-6.8120415015637859</v>
      </c>
      <c r="AB39" s="49"/>
      <c r="AC39" s="48">
        <v>19.266666666666666</v>
      </c>
      <c r="AD39" s="51">
        <f t="shared" si="3"/>
        <v>-90.666666666666643</v>
      </c>
      <c r="AE39" s="51">
        <f>INDEX(Z22:Z55,MATCH(AC39,X22:X55,0))</f>
        <v>5677.2444444444454</v>
      </c>
      <c r="AF39" s="50">
        <f>INDEX(AA22:AA55,MATCH(AC39,X22:X55,0))</f>
        <v>-6.8120415015637859</v>
      </c>
    </row>
    <row r="40" spans="1:32" s="37" customFormat="1" ht="12.75" x14ac:dyDescent="0.2">
      <c r="L40" s="38"/>
      <c r="M40" s="35"/>
      <c r="N40" s="35"/>
      <c r="O40" s="35"/>
      <c r="P40" s="35"/>
      <c r="Q40" s="35"/>
      <c r="R40" s="35"/>
      <c r="S40" s="35"/>
      <c r="T40" s="35"/>
      <c r="U40" s="34"/>
      <c r="V40" s="38"/>
      <c r="W40" s="44">
        <v>18</v>
      </c>
      <c r="X40" s="52">
        <f>G19/MAX(W22:W55)*W40</f>
        <v>20.399999999999999</v>
      </c>
      <c r="Y40" s="44">
        <f>$G$21/2*(1-2*X40/$G$19)</f>
        <v>-135.99999999999997</v>
      </c>
      <c r="Z40" s="50">
        <f t="shared" si="1"/>
        <v>5548.8</v>
      </c>
      <c r="AA40" s="49">
        <f t="shared" si="2"/>
        <v>-6.628226559999999</v>
      </c>
      <c r="AB40" s="49"/>
      <c r="AC40" s="48">
        <v>20.399999999999999</v>
      </c>
      <c r="AD40" s="51">
        <f t="shared" si="3"/>
        <v>-135.99999999999997</v>
      </c>
      <c r="AE40" s="51">
        <f>INDEX(Z22:Z55,MATCH(AC40,X22:X55,0))</f>
        <v>5548.8</v>
      </c>
      <c r="AF40" s="50">
        <f>INDEX(AA22:AA55,MATCH(AC40,X22:X55,0))</f>
        <v>-6.628226559999999</v>
      </c>
    </row>
    <row r="41" spans="1:32" s="37" customFormat="1" ht="12.75" x14ac:dyDescent="0.2">
      <c r="I41" s="54" t="s">
        <v>38</v>
      </c>
      <c r="J41" s="38"/>
      <c r="K41" s="38"/>
      <c r="L41" s="38"/>
      <c r="M41" s="35"/>
      <c r="N41" s="35"/>
      <c r="O41" s="35"/>
      <c r="P41" s="35"/>
      <c r="Q41" s="35"/>
      <c r="R41" s="35"/>
      <c r="S41" s="35"/>
      <c r="T41" s="35"/>
      <c r="U41" s="34"/>
      <c r="V41" s="38"/>
      <c r="W41" s="44">
        <v>19</v>
      </c>
      <c r="X41" s="52">
        <f>G19/MAX(W22:W55)*W41</f>
        <v>21.533333333333331</v>
      </c>
      <c r="Y41" s="44">
        <f t="shared" si="0"/>
        <v>-181.33333333333329</v>
      </c>
      <c r="Z41" s="50">
        <f t="shared" si="1"/>
        <v>5368.977777777779</v>
      </c>
      <c r="AA41" s="49">
        <f t="shared" si="2"/>
        <v>-6.3731953583539118</v>
      </c>
      <c r="AB41" s="40"/>
      <c r="AC41" s="48">
        <v>21.533333333333331</v>
      </c>
      <c r="AD41" s="51">
        <f t="shared" si="3"/>
        <v>-181.33333333333329</v>
      </c>
      <c r="AE41" s="51">
        <f>INDEX(Z22:Z55,MATCH(AC41,X22:X55,0))</f>
        <v>5368.977777777779</v>
      </c>
      <c r="AF41" s="50">
        <f>INDEX(AA22:AA55,MATCH(AC41,X22:X55,0))</f>
        <v>-6.3731953583539118</v>
      </c>
    </row>
    <row r="42" spans="1:32" s="37" customFormat="1" ht="12.75" x14ac:dyDescent="0.2">
      <c r="I42" s="47" t="s">
        <v>34</v>
      </c>
      <c r="J42" s="94">
        <f>MAX(AE21:AE54)</f>
        <v>5780</v>
      </c>
      <c r="K42" s="38" t="s">
        <v>37</v>
      </c>
      <c r="L42" s="38"/>
      <c r="M42" s="35"/>
      <c r="N42" s="35"/>
      <c r="O42" s="35"/>
      <c r="P42" s="35"/>
      <c r="Q42" s="35"/>
      <c r="R42" s="35"/>
      <c r="S42" s="35"/>
      <c r="T42" s="35"/>
      <c r="U42" s="34"/>
      <c r="V42" s="38"/>
      <c r="W42" s="44">
        <v>20</v>
      </c>
      <c r="X42" s="52">
        <f>G19/MAX(W22:W55)*W42</f>
        <v>22.666666666666664</v>
      </c>
      <c r="Y42" s="44">
        <f t="shared" si="0"/>
        <v>-226.66666666666663</v>
      </c>
      <c r="Z42" s="50">
        <f t="shared" si="1"/>
        <v>5137.7777777777774</v>
      </c>
      <c r="AA42" s="49">
        <f t="shared" si="2"/>
        <v>-6.0492576131687255</v>
      </c>
      <c r="AB42" s="40"/>
      <c r="AC42" s="48">
        <v>22.666666666666664</v>
      </c>
      <c r="AD42" s="51">
        <f t="shared" si="3"/>
        <v>-226.66666666666663</v>
      </c>
      <c r="AE42" s="51">
        <f>INDEX(Z22:Z55,MATCH(AC42,X22:X55,0))</f>
        <v>5137.7777777777774</v>
      </c>
      <c r="AF42" s="50">
        <f>INDEX(AA22:AA55,MATCH(AC42,X22:X55,0))</f>
        <v>-6.0492576131687255</v>
      </c>
    </row>
    <row r="43" spans="1:32" s="37" customFormat="1" ht="12.75" x14ac:dyDescent="0.2">
      <c r="I43" s="47" t="s">
        <v>33</v>
      </c>
      <c r="J43" s="55">
        <f>MIN(AE21:AE54)</f>
        <v>-6.8000020024783225E-3</v>
      </c>
      <c r="K43" s="38" t="s">
        <v>37</v>
      </c>
      <c r="L43" s="38"/>
      <c r="M43" s="35"/>
      <c r="N43" s="35"/>
      <c r="O43" s="35"/>
      <c r="P43" s="35"/>
      <c r="Q43" s="35"/>
      <c r="R43" s="35"/>
      <c r="S43" s="35"/>
      <c r="T43" s="35"/>
      <c r="U43" s="34"/>
      <c r="V43" s="38"/>
      <c r="W43" s="44">
        <v>21</v>
      </c>
      <c r="X43" s="52">
        <f>G19/MAX(W22:W55)*W43</f>
        <v>23.8</v>
      </c>
      <c r="Y43" s="44">
        <f t="shared" si="0"/>
        <v>-272.00000000000011</v>
      </c>
      <c r="Z43" s="50">
        <f t="shared" si="1"/>
        <v>4855.2000000000007</v>
      </c>
      <c r="AA43" s="49">
        <f t="shared" si="2"/>
        <v>-5.6593829599999976</v>
      </c>
      <c r="AB43" s="40"/>
      <c r="AC43" s="48">
        <v>23.8</v>
      </c>
      <c r="AD43" s="51">
        <f t="shared" si="3"/>
        <v>-272.00000000000011</v>
      </c>
      <c r="AE43" s="51">
        <f>INDEX(Z22:Z55,MATCH(AC43,X22:X55,0))</f>
        <v>4855.2000000000007</v>
      </c>
      <c r="AF43" s="50">
        <f>INDEX(AA22:AA55,MATCH(AC43,X22:X55,0))</f>
        <v>-5.6593829599999976</v>
      </c>
    </row>
    <row r="44" spans="1:32" s="37" customFormat="1" ht="12.75" x14ac:dyDescent="0.2">
      <c r="I44" s="45" t="s">
        <v>35</v>
      </c>
      <c r="J44" s="38"/>
      <c r="K44" s="38"/>
      <c r="L44" s="38"/>
      <c r="M44" s="35"/>
      <c r="N44" s="35"/>
      <c r="O44" s="35"/>
      <c r="P44" s="35"/>
      <c r="Q44" s="35"/>
      <c r="R44" s="35"/>
      <c r="S44" s="35"/>
      <c r="T44" s="35"/>
      <c r="U44" s="34"/>
      <c r="V44" s="38"/>
      <c r="W44" s="44">
        <v>22</v>
      </c>
      <c r="X44" s="52">
        <f>G19/MAX(W22:W55)*W44</f>
        <v>24.933333333333334</v>
      </c>
      <c r="Y44" s="44">
        <f t="shared" si="0"/>
        <v>-317.33333333333343</v>
      </c>
      <c r="Z44" s="50">
        <f t="shared" si="1"/>
        <v>4521.2444444444436</v>
      </c>
      <c r="AA44" s="49">
        <f t="shared" si="2"/>
        <v>-5.2072009534156383</v>
      </c>
      <c r="AB44" s="40"/>
      <c r="AC44" s="48">
        <v>24.933333333333334</v>
      </c>
      <c r="AD44" s="51">
        <f t="shared" si="3"/>
        <v>-317.33333333333343</v>
      </c>
      <c r="AE44" s="51">
        <f>INDEX(Z22:Z55,MATCH(AC44,X22:X55,0))</f>
        <v>4521.2444444444436</v>
      </c>
      <c r="AF44" s="50">
        <f>INDEX(AA22:AA55,MATCH(AC44,X22:X55,0))</f>
        <v>-5.2072009534156383</v>
      </c>
    </row>
    <row r="45" spans="1:32" s="37" customFormat="1" ht="12.75" x14ac:dyDescent="0.2">
      <c r="I45" s="47" t="s">
        <v>34</v>
      </c>
      <c r="J45" s="46">
        <f>INDEX(AC21:AC54,MATCH(J42,AE21:AE54,0))</f>
        <v>17</v>
      </c>
      <c r="K45" s="38" t="s">
        <v>32</v>
      </c>
      <c r="L45" s="38"/>
      <c r="M45" s="35"/>
      <c r="N45" s="35"/>
      <c r="O45" s="35"/>
      <c r="P45" s="35"/>
      <c r="Q45" s="35"/>
      <c r="R45" s="35"/>
      <c r="S45" s="35"/>
      <c r="T45" s="35"/>
      <c r="U45" s="34"/>
      <c r="V45" s="38"/>
      <c r="W45" s="44">
        <v>23</v>
      </c>
      <c r="X45" s="52">
        <f>G19/MAX(W22:W55)*W45</f>
        <v>26.066666666666666</v>
      </c>
      <c r="Y45" s="44">
        <f t="shared" si="0"/>
        <v>-362.66666666666657</v>
      </c>
      <c r="Z45" s="50">
        <f t="shared" si="1"/>
        <v>4135.9111111111106</v>
      </c>
      <c r="AA45" s="49">
        <f t="shared" si="2"/>
        <v>-4.6970010669958837</v>
      </c>
      <c r="AB45" s="40"/>
      <c r="AC45" s="48">
        <v>26.066666666666666</v>
      </c>
      <c r="AD45" s="51">
        <f t="shared" si="3"/>
        <v>-362.66666666666657</v>
      </c>
      <c r="AE45" s="51">
        <f>INDEX(Z22:Z55,MATCH(AC45,X22:X55,0))</f>
        <v>4135.9111111111106</v>
      </c>
      <c r="AF45" s="50">
        <f>INDEX(AA22:AA55,MATCH(AC45,X22:X55,0))</f>
        <v>-4.6970010669958837</v>
      </c>
    </row>
    <row r="46" spans="1:32" s="37" customFormat="1" ht="12.75" x14ac:dyDescent="0.2">
      <c r="I46" s="47" t="s">
        <v>33</v>
      </c>
      <c r="J46" s="46">
        <f>INDEX(AC21:AC54,MATCH(J43,AE21:AE54,0))</f>
        <v>34.000010000000003</v>
      </c>
      <c r="K46" s="45" t="s">
        <v>32</v>
      </c>
      <c r="L46" s="38"/>
      <c r="M46" s="35"/>
      <c r="N46" s="35"/>
      <c r="O46" s="35"/>
      <c r="P46" s="35"/>
      <c r="Q46" s="35"/>
      <c r="R46" s="35"/>
      <c r="S46" s="35"/>
      <c r="T46" s="35"/>
      <c r="U46" s="34"/>
      <c r="V46" s="38"/>
      <c r="W46" s="44">
        <v>24</v>
      </c>
      <c r="X46" s="52">
        <f>G19/MAX(W22:W55)*W46</f>
        <v>27.2</v>
      </c>
      <c r="Y46" s="44">
        <f t="shared" si="0"/>
        <v>-407.99999999999989</v>
      </c>
      <c r="Z46" s="50">
        <f t="shared" si="1"/>
        <v>3699.2000000000007</v>
      </c>
      <c r="AA46" s="49">
        <f t="shared" si="2"/>
        <v>-4.133732693333334</v>
      </c>
      <c r="AB46" s="40"/>
      <c r="AC46" s="48">
        <v>27.2</v>
      </c>
      <c r="AD46" s="51">
        <f t="shared" si="3"/>
        <v>-407.99999999999989</v>
      </c>
      <c r="AE46" s="51">
        <f>INDEX(Z22:Z55,MATCH(AC46,X22:X55,0))</f>
        <v>3699.2000000000007</v>
      </c>
      <c r="AF46" s="50">
        <f>INDEX(AA22:AA55,MATCH(AC46,X22:X55,0))</f>
        <v>-4.133732693333334</v>
      </c>
    </row>
    <row r="47" spans="1:32" s="37" customFormat="1" ht="12.75" x14ac:dyDescent="0.2">
      <c r="L47" s="38"/>
      <c r="M47" s="35"/>
      <c r="N47" s="35"/>
      <c r="O47" s="35"/>
      <c r="P47" s="35"/>
      <c r="Q47" s="35"/>
      <c r="R47" s="35"/>
      <c r="S47" s="35"/>
      <c r="T47" s="35"/>
      <c r="U47" s="34"/>
      <c r="V47" s="38"/>
      <c r="W47" s="44">
        <v>25</v>
      </c>
      <c r="X47" s="52">
        <f>G19/MAX(W22:W55)*W47</f>
        <v>28.333333333333332</v>
      </c>
      <c r="Y47" s="44">
        <f t="shared" si="0"/>
        <v>-453.33333333333326</v>
      </c>
      <c r="Z47" s="50">
        <f t="shared" si="1"/>
        <v>3211.1111111111104</v>
      </c>
      <c r="AA47" s="49">
        <f t="shared" si="2"/>
        <v>-3.5230051440329233</v>
      </c>
      <c r="AB47" s="40"/>
      <c r="AC47" s="48">
        <v>28.333333333333332</v>
      </c>
      <c r="AD47" s="51">
        <f t="shared" si="3"/>
        <v>-453.33333333333326</v>
      </c>
      <c r="AE47" s="51">
        <f>INDEX(Z22:Z55,MATCH(AC47,X22:X55,0))</f>
        <v>3211.1111111111104</v>
      </c>
      <c r="AF47" s="50">
        <f>INDEX(AA22:AA55,MATCH(AC47,X22:X55,0))</f>
        <v>-3.5230051440329233</v>
      </c>
    </row>
    <row r="48" spans="1:32" s="37" customFormat="1" ht="12.75" x14ac:dyDescent="0.2">
      <c r="L48" s="38"/>
      <c r="M48" s="35"/>
      <c r="N48" s="35"/>
      <c r="O48" s="35"/>
      <c r="P48" s="35"/>
      <c r="Q48" s="35"/>
      <c r="R48" s="35"/>
      <c r="S48" s="35"/>
      <c r="T48" s="35"/>
      <c r="U48" s="34"/>
      <c r="V48" s="38"/>
      <c r="W48" s="44">
        <v>26</v>
      </c>
      <c r="X48" s="52">
        <f>G19/MAX(W22:W55)*W48</f>
        <v>29.466666666666665</v>
      </c>
      <c r="Y48" s="44">
        <f t="shared" si="0"/>
        <v>-498.66666666666657</v>
      </c>
      <c r="Z48" s="50">
        <f t="shared" si="1"/>
        <v>2671.6444444444442</v>
      </c>
      <c r="AA48" s="49">
        <f t="shared" si="2"/>
        <v>-2.8710876497119369</v>
      </c>
      <c r="AB48" s="40"/>
      <c r="AC48" s="48">
        <v>29.466666666666665</v>
      </c>
      <c r="AD48" s="51">
        <f t="shared" si="3"/>
        <v>-498.66666666666657</v>
      </c>
      <c r="AE48" s="51">
        <f>INDEX(Z22:Z55,MATCH(AC48,X22:X55,0))</f>
        <v>2671.6444444444442</v>
      </c>
      <c r="AF48" s="50">
        <f>INDEX(AA22:AA55,MATCH(AC48,X22:X55,0))</f>
        <v>-2.8710876497119369</v>
      </c>
    </row>
    <row r="49" spans="1:32" s="37" customFormat="1" ht="12.75" x14ac:dyDescent="0.2">
      <c r="L49" s="38"/>
      <c r="M49" s="35"/>
      <c r="N49" s="35"/>
      <c r="O49" s="35"/>
      <c r="P49" s="35"/>
      <c r="Q49" s="35"/>
      <c r="R49" s="35"/>
      <c r="S49" s="35"/>
      <c r="T49" s="35"/>
      <c r="U49" s="34"/>
      <c r="V49" s="38"/>
      <c r="W49" s="44">
        <v>27</v>
      </c>
      <c r="X49" s="52">
        <f>G19/MAX(W22:W55)*W49</f>
        <v>30.599999999999998</v>
      </c>
      <c r="Y49" s="44">
        <f t="shared" si="0"/>
        <v>-543.99999999999989</v>
      </c>
      <c r="Z49" s="50">
        <f t="shared" si="1"/>
        <v>2080.8000000000015</v>
      </c>
      <c r="AA49" s="49">
        <f t="shared" si="2"/>
        <v>-2.1849093599999994</v>
      </c>
      <c r="AB49" s="40"/>
      <c r="AC49" s="48">
        <v>30.599999999999998</v>
      </c>
      <c r="AD49" s="51">
        <f t="shared" si="3"/>
        <v>-543.99999999999989</v>
      </c>
      <c r="AE49" s="51">
        <f>INDEX(Z22:Z55,MATCH(AC49,X22:X55,0))</f>
        <v>2080.8000000000015</v>
      </c>
      <c r="AF49" s="50">
        <f>INDEX(AA22:AA55,MATCH(AC49,X22:X55,0))</f>
        <v>-2.1849093599999994</v>
      </c>
    </row>
    <row r="50" spans="1:32" s="37" customFormat="1" ht="12.75" x14ac:dyDescent="0.2">
      <c r="I50" s="38"/>
      <c r="J50" s="38"/>
      <c r="K50" s="38"/>
      <c r="L50" s="38"/>
      <c r="M50" s="35"/>
      <c r="N50" s="35"/>
      <c r="O50" s="35"/>
      <c r="P50" s="35"/>
      <c r="Q50" s="35"/>
      <c r="R50" s="35"/>
      <c r="S50" s="35"/>
      <c r="T50" s="35"/>
      <c r="U50" s="34"/>
      <c r="V50" s="38"/>
      <c r="W50" s="44">
        <v>28</v>
      </c>
      <c r="X50" s="52">
        <f>G19/MAX(W22:W55)*W50</f>
        <v>31.733333333333334</v>
      </c>
      <c r="Y50" s="44">
        <f t="shared" si="0"/>
        <v>-589.33333333333337</v>
      </c>
      <c r="Z50" s="50">
        <f t="shared" si="1"/>
        <v>1438.577777777778</v>
      </c>
      <c r="AA50" s="49">
        <f t="shared" si="2"/>
        <v>-1.4720593435390972</v>
      </c>
      <c r="AB50" s="40"/>
      <c r="AC50" s="48">
        <v>31.733333333333334</v>
      </c>
      <c r="AD50" s="51">
        <f t="shared" si="3"/>
        <v>-589.33333333333337</v>
      </c>
      <c r="AE50" s="51">
        <f>INDEX(Z22:Z55,MATCH(AC50,X22:X55,0))</f>
        <v>1438.577777777778</v>
      </c>
      <c r="AF50" s="50">
        <f>INDEX(AA22:AA55,MATCH(AC50,X22:X55,0))</f>
        <v>-1.4720593435390972</v>
      </c>
    </row>
    <row r="51" spans="1:32" s="37" customFormat="1" ht="12.75" x14ac:dyDescent="0.2">
      <c r="I51" s="54" t="s">
        <v>36</v>
      </c>
      <c r="J51" s="38"/>
      <c r="K51" s="38"/>
      <c r="L51" s="38"/>
      <c r="M51" s="35"/>
      <c r="N51" s="35"/>
      <c r="O51" s="35"/>
      <c r="P51" s="35"/>
      <c r="Q51" s="35"/>
      <c r="R51" s="35"/>
      <c r="S51" s="35"/>
      <c r="T51" s="35"/>
      <c r="U51" s="34"/>
      <c r="V51" s="38"/>
      <c r="W51" s="44">
        <v>29</v>
      </c>
      <c r="X51" s="52">
        <f>G19/MAX(W22:W55)*W51</f>
        <v>32.866666666666667</v>
      </c>
      <c r="Y51" s="44">
        <f t="shared" si="0"/>
        <v>-634.66666666666663</v>
      </c>
      <c r="Z51" s="50">
        <f t="shared" si="1"/>
        <v>744.97777777777583</v>
      </c>
      <c r="AA51" s="49">
        <f t="shared" si="2"/>
        <v>-0.74078658798354124</v>
      </c>
      <c r="AB51" s="40"/>
      <c r="AC51" s="48">
        <v>32.866666666666667</v>
      </c>
      <c r="AD51" s="51">
        <f t="shared" si="3"/>
        <v>-634.66666666666663</v>
      </c>
      <c r="AE51" s="51">
        <f>INDEX(Z22:Z55,MATCH(AC51,X22:X55,0))</f>
        <v>744.97777777777583</v>
      </c>
      <c r="AF51" s="50">
        <f>INDEX(AA22:AA55,MATCH(AC51,X22:X55,0))</f>
        <v>-0.74078658798354124</v>
      </c>
    </row>
    <row r="52" spans="1:32" s="37" customFormat="1" ht="12.75" x14ac:dyDescent="0.2">
      <c r="I52" s="47" t="s">
        <v>34</v>
      </c>
      <c r="J52" s="53">
        <f>MAX(AF21:AF54)</f>
        <v>0</v>
      </c>
      <c r="K52" s="38" t="s">
        <v>32</v>
      </c>
      <c r="L52" s="38"/>
      <c r="M52" s="35"/>
      <c r="N52" s="35"/>
      <c r="O52" s="35"/>
      <c r="P52" s="35"/>
      <c r="Q52" s="35"/>
      <c r="R52" s="35"/>
      <c r="S52" s="35"/>
      <c r="T52" s="35"/>
      <c r="U52" s="34"/>
      <c r="V52" s="38"/>
      <c r="W52" s="44">
        <v>30</v>
      </c>
      <c r="X52" s="52">
        <f>G19/MAX(W22:W55)*W52</f>
        <v>34</v>
      </c>
      <c r="Y52" s="44">
        <f t="shared" si="0"/>
        <v>-680</v>
      </c>
      <c r="Z52" s="50">
        <f t="shared" si="1"/>
        <v>0</v>
      </c>
      <c r="AA52" s="49">
        <f t="shared" si="2"/>
        <v>0</v>
      </c>
      <c r="AB52" s="40"/>
      <c r="AC52" s="48">
        <v>34</v>
      </c>
      <c r="AD52" s="51">
        <f t="shared" si="3"/>
        <v>-680</v>
      </c>
      <c r="AE52" s="51">
        <f>INDEX(Z22:Z55,MATCH(AC52,X22:X55,0))</f>
        <v>0</v>
      </c>
      <c r="AF52" s="50">
        <f>INDEX(AA22:AA55,MATCH(AC52,X22:X55,0))</f>
        <v>0</v>
      </c>
    </row>
    <row r="53" spans="1:32" s="37" customFormat="1" ht="12.75" x14ac:dyDescent="0.2">
      <c r="I53" s="47" t="s">
        <v>33</v>
      </c>
      <c r="J53" s="53">
        <f>MIN(AF21:AF54)</f>
        <v>-6.9600833333333334</v>
      </c>
      <c r="K53" s="45" t="s">
        <v>32</v>
      </c>
      <c r="L53" s="38"/>
      <c r="M53" s="35"/>
      <c r="N53" s="35"/>
      <c r="O53" s="35"/>
      <c r="P53" s="35"/>
      <c r="Q53" s="35"/>
      <c r="R53" s="35"/>
      <c r="S53" s="35"/>
      <c r="T53" s="35"/>
      <c r="U53" s="34"/>
      <c r="V53" s="38"/>
      <c r="W53" s="38"/>
      <c r="X53" s="52">
        <f>G19</f>
        <v>34</v>
      </c>
      <c r="Y53" s="44">
        <f t="shared" si="0"/>
        <v>-680</v>
      </c>
      <c r="Z53" s="50">
        <f t="shared" si="1"/>
        <v>0</v>
      </c>
      <c r="AA53" s="49">
        <f t="shared" si="2"/>
        <v>0</v>
      </c>
      <c r="AB53" s="40"/>
      <c r="AC53" s="48">
        <v>34</v>
      </c>
      <c r="AD53" s="51">
        <f t="shared" si="3"/>
        <v>-680</v>
      </c>
      <c r="AE53" s="51">
        <f>INDEX(Z22:Z55,MATCH(AC53,X22:X55,0))</f>
        <v>0</v>
      </c>
      <c r="AF53" s="50">
        <f>INDEX(AA22:AA55,MATCH(AC53,X22:X55,0))</f>
        <v>0</v>
      </c>
    </row>
    <row r="54" spans="1:32" s="37" customFormat="1" ht="12.75" x14ac:dyDescent="0.2">
      <c r="I54" s="45" t="s">
        <v>35</v>
      </c>
      <c r="J54" s="38"/>
      <c r="K54" s="38"/>
      <c r="L54" s="38"/>
      <c r="M54" s="35"/>
      <c r="N54" s="35"/>
      <c r="O54" s="35"/>
      <c r="P54" s="35"/>
      <c r="Q54" s="35"/>
      <c r="R54" s="35"/>
      <c r="S54" s="35"/>
      <c r="T54" s="35"/>
      <c r="U54" s="34"/>
      <c r="V54" s="38"/>
      <c r="W54" s="38"/>
      <c r="X54" s="44"/>
      <c r="Y54" s="44"/>
      <c r="Z54" s="40"/>
      <c r="AA54" s="40"/>
      <c r="AB54" s="40"/>
      <c r="AC54" s="48">
        <v>34.000010000000003</v>
      </c>
      <c r="AD54" s="51">
        <f t="shared" si="3"/>
        <v>-680.00040000000013</v>
      </c>
      <c r="AE54" s="51">
        <f>INDEX(Z23:Z56,MATCH(AC54,X23:X56,0))</f>
        <v>-6.8000020024783225E-3</v>
      </c>
      <c r="AF54" s="50"/>
    </row>
    <row r="55" spans="1:32" s="37" customFormat="1" ht="12.75" x14ac:dyDescent="0.2">
      <c r="I55" s="47" t="s">
        <v>34</v>
      </c>
      <c r="J55" s="46">
        <f>INDEX(AC21:AC54,MATCH(J52,AF21:AF54,0))</f>
        <v>0</v>
      </c>
      <c r="K55" s="38" t="s">
        <v>32</v>
      </c>
      <c r="L55" s="38"/>
      <c r="M55" s="35"/>
      <c r="N55" s="35"/>
      <c r="O55" s="35"/>
      <c r="P55" s="35"/>
      <c r="Q55" s="35"/>
      <c r="R55" s="35"/>
      <c r="S55" s="35"/>
      <c r="T55" s="35"/>
      <c r="U55" s="34"/>
      <c r="V55" s="38"/>
      <c r="W55" s="38"/>
      <c r="X55" s="110">
        <f>G19+0.00001</f>
        <v>34.000010000000003</v>
      </c>
      <c r="Y55" s="44">
        <f t="shared" si="0"/>
        <v>-680.00040000000013</v>
      </c>
      <c r="Z55" s="50">
        <f t="shared" si="1"/>
        <v>-6.8000020024783225E-3</v>
      </c>
      <c r="AA55" s="49">
        <f t="shared" si="2"/>
        <v>6.5506666673097973E-6</v>
      </c>
      <c r="AB55" s="40"/>
      <c r="AC55" s="48" t="str">
        <v/>
      </c>
      <c r="AD55" s="40"/>
    </row>
    <row r="56" spans="1:32" s="37" customFormat="1" ht="12.75" x14ac:dyDescent="0.2">
      <c r="I56" s="47" t="s">
        <v>33</v>
      </c>
      <c r="J56" s="46">
        <f>INDEX(AC21:AC54,MATCH(J53,AF21:AF54,0))</f>
        <v>17</v>
      </c>
      <c r="K56" s="45" t="s">
        <v>32</v>
      </c>
      <c r="L56" s="38"/>
      <c r="M56" s="35"/>
      <c r="N56" s="35"/>
      <c r="O56" s="35"/>
      <c r="P56" s="35"/>
      <c r="Q56" s="35"/>
      <c r="R56" s="35"/>
      <c r="S56" s="35"/>
      <c r="T56" s="35"/>
      <c r="U56" s="34"/>
      <c r="V56" s="38"/>
      <c r="W56" s="38"/>
      <c r="X56" s="38"/>
      <c r="Y56" s="38"/>
    </row>
    <row r="57" spans="1:32" s="37" customFormat="1" ht="12.75" x14ac:dyDescent="0.2">
      <c r="I57" s="38"/>
      <c r="J57" s="38"/>
      <c r="K57" s="38"/>
      <c r="L57" s="38"/>
      <c r="M57" s="35"/>
      <c r="N57" s="35"/>
      <c r="O57" s="35"/>
      <c r="P57" s="35"/>
      <c r="Q57" s="35"/>
      <c r="R57" s="35"/>
      <c r="S57" s="35"/>
      <c r="T57" s="35"/>
      <c r="U57" s="34"/>
      <c r="V57" s="38"/>
      <c r="W57" s="38"/>
      <c r="X57" s="38"/>
      <c r="Y57" s="38"/>
      <c r="AD57" s="40">
        <f>MAX(AD21:AD54)</f>
        <v>680</v>
      </c>
      <c r="AE57" s="40">
        <f>MAX(AE21:AE54)</f>
        <v>5780</v>
      </c>
      <c r="AF57" s="40">
        <f>MAX(AF21:AF54)</f>
        <v>0</v>
      </c>
    </row>
    <row r="58" spans="1:32" s="37" customFormat="1" ht="12.75" x14ac:dyDescent="0.2">
      <c r="A58" s="38"/>
      <c r="B58" s="43"/>
      <c r="C58" s="44"/>
      <c r="D58" s="43"/>
      <c r="E58" s="38"/>
      <c r="F58" s="38"/>
      <c r="G58" s="38"/>
      <c r="H58" s="38"/>
      <c r="I58" s="38"/>
      <c r="J58" s="38"/>
      <c r="K58" s="38"/>
      <c r="L58" s="38"/>
      <c r="M58" s="35"/>
      <c r="N58" s="35"/>
      <c r="O58" s="35"/>
      <c r="P58" s="35"/>
      <c r="Q58" s="35"/>
      <c r="R58" s="35"/>
      <c r="S58" s="35"/>
      <c r="T58" s="35"/>
      <c r="U58" s="34"/>
      <c r="V58" s="38"/>
      <c r="W58" s="38"/>
      <c r="X58" s="38"/>
      <c r="Y58" s="38"/>
      <c r="AD58" s="40">
        <f>MIN(AD21:AD54)</f>
        <v>-680.00040000000013</v>
      </c>
      <c r="AE58" s="40">
        <f>MIN(AE21:AE54)</f>
        <v>-6.8000020024783225E-3</v>
      </c>
      <c r="AF58" s="40">
        <f>MIN(AF21:AF54)</f>
        <v>-6.9600833333333334</v>
      </c>
    </row>
    <row r="59" spans="1:32" s="37" customFormat="1" ht="12.75" x14ac:dyDescent="0.2">
      <c r="A59" s="39"/>
      <c r="B59" s="40"/>
      <c r="C59" s="41"/>
      <c r="D59" s="39"/>
      <c r="E59" s="39"/>
      <c r="F59" s="39"/>
      <c r="G59" s="41"/>
      <c r="H59" s="39"/>
      <c r="I59" s="39"/>
      <c r="J59" s="39"/>
      <c r="K59" s="39"/>
      <c r="L59" s="38"/>
      <c r="M59" s="35"/>
      <c r="N59" s="35"/>
      <c r="O59" s="35"/>
      <c r="P59" s="35"/>
      <c r="Q59" s="35"/>
      <c r="R59" s="35"/>
      <c r="S59" s="35"/>
      <c r="T59" s="35"/>
      <c r="U59" s="34"/>
      <c r="V59" s="38"/>
      <c r="W59" s="38"/>
      <c r="X59" s="38"/>
      <c r="Y59" s="38"/>
      <c r="AD59" s="40"/>
      <c r="AE59" s="40"/>
      <c r="AF59" s="40"/>
    </row>
    <row r="60" spans="1:32" s="37" customFormat="1" ht="12.75" x14ac:dyDescent="0.2">
      <c r="A60" s="104"/>
      <c r="B60" s="95"/>
      <c r="C60" s="95"/>
      <c r="D60" s="95"/>
      <c r="E60" s="95"/>
      <c r="F60" s="95"/>
      <c r="G60" s="96"/>
      <c r="H60" s="96"/>
      <c r="I60" s="96"/>
      <c r="J60" s="96"/>
      <c r="K60" s="97"/>
      <c r="L60" s="38"/>
      <c r="M60" s="35"/>
      <c r="N60" s="35"/>
      <c r="O60" s="35"/>
      <c r="P60" s="35"/>
      <c r="Q60" s="35"/>
      <c r="R60" s="35"/>
      <c r="S60" s="35"/>
      <c r="T60" s="35"/>
      <c r="U60" s="34"/>
      <c r="V60" s="38"/>
      <c r="W60" s="38"/>
      <c r="X60" s="38"/>
      <c r="Y60" s="38"/>
      <c r="AD60" s="40"/>
      <c r="AE60" s="40"/>
      <c r="AF60" s="40"/>
    </row>
    <row r="61" spans="1:32" s="37" customFormat="1" ht="12.75" x14ac:dyDescent="0.2">
      <c r="A61" s="98"/>
      <c r="B61" s="98"/>
      <c r="C61" s="98"/>
      <c r="D61" s="99"/>
      <c r="E61" s="99"/>
      <c r="F61" s="100"/>
      <c r="G61" s="105"/>
      <c r="H61" s="101"/>
      <c r="I61" s="102"/>
      <c r="J61" s="102"/>
      <c r="K61" s="103"/>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2017-01-17T20:39:44Z</dcterms:modified>
  <cp:category>Engineering Spreadsheets</cp:category>
</cp:coreProperties>
</file>