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5688" yWindow="300" windowWidth="14016" windowHeight="12816" tabRatio="871" activeTab="1"/>
  </bookViews>
  <sheets>
    <sheet name="READ ME" sheetId="38" r:id="rId1"/>
    <sheet name="Landing Gear" sheetId="35" r:id="rId2"/>
  </sheets>
  <externalReferences>
    <externalReference r:id="rId3"/>
  </externalReferences>
  <definedNames>
    <definedName name="_xlnm.Print_Area" localSheetId="1">'Landing Gear'!$A$8:$K$856</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38" l="1"/>
  <c r="B801" i="35" l="1"/>
  <c r="F800" i="35"/>
  <c r="L799" i="35"/>
  <c r="F799" i="35"/>
  <c r="J798" i="35"/>
  <c r="F798" i="35"/>
  <c r="J797" i="35"/>
  <c r="F797" i="35"/>
  <c r="B741" i="35"/>
  <c r="F740" i="35"/>
  <c r="L739" i="35"/>
  <c r="F739" i="35"/>
  <c r="J738" i="35"/>
  <c r="F738" i="35"/>
  <c r="J737" i="35"/>
  <c r="F737" i="35"/>
  <c r="B687" i="35"/>
  <c r="F686" i="35"/>
  <c r="L685" i="35"/>
  <c r="F685" i="35"/>
  <c r="J684" i="35"/>
  <c r="F684" i="35"/>
  <c r="J683" i="35"/>
  <c r="F683" i="35"/>
  <c r="B631" i="35"/>
  <c r="F630" i="35"/>
  <c r="L629" i="35"/>
  <c r="F629" i="35"/>
  <c r="J628" i="35"/>
  <c r="F628" i="35"/>
  <c r="J627" i="35"/>
  <c r="F627" i="35"/>
  <c r="B576" i="35"/>
  <c r="F575" i="35"/>
  <c r="L574" i="35"/>
  <c r="F574" i="35"/>
  <c r="J573" i="35"/>
  <c r="F573" i="35"/>
  <c r="J572" i="35"/>
  <c r="F572" i="35"/>
  <c r="B521" i="35"/>
  <c r="F520" i="35"/>
  <c r="L519" i="35"/>
  <c r="F519" i="35"/>
  <c r="J518" i="35"/>
  <c r="F518" i="35"/>
  <c r="J517" i="35"/>
  <c r="F517" i="35"/>
  <c r="B464" i="35"/>
  <c r="F463" i="35"/>
  <c r="L462" i="35"/>
  <c r="F462" i="35"/>
  <c r="J461" i="35"/>
  <c r="F461" i="35"/>
  <c r="J460" i="35"/>
  <c r="F460" i="35"/>
  <c r="B407" i="35"/>
  <c r="F406" i="35"/>
  <c r="L405" i="35"/>
  <c r="F405" i="35"/>
  <c r="J404" i="35"/>
  <c r="F404" i="35"/>
  <c r="J403" i="35"/>
  <c r="F403" i="35"/>
  <c r="B353" i="35"/>
  <c r="F352" i="35"/>
  <c r="L351" i="35"/>
  <c r="F351" i="35"/>
  <c r="J350" i="35"/>
  <c r="F350" i="35"/>
  <c r="J349" i="35"/>
  <c r="F349" i="35"/>
  <c r="B300" i="35"/>
  <c r="F299" i="35"/>
  <c r="L298" i="35"/>
  <c r="F298" i="35"/>
  <c r="J297" i="35"/>
  <c r="F297" i="35"/>
  <c r="J296" i="35"/>
  <c r="F296" i="35"/>
  <c r="B242" i="35"/>
  <c r="F241" i="35"/>
  <c r="L240" i="35"/>
  <c r="F240" i="35"/>
  <c r="J239" i="35"/>
  <c r="F239" i="35"/>
  <c r="J238" i="35"/>
  <c r="F238" i="35"/>
  <c r="B184" i="35"/>
  <c r="F183" i="35"/>
  <c r="L182" i="35"/>
  <c r="F182" i="35"/>
  <c r="J181" i="35"/>
  <c r="F181" i="35"/>
  <c r="J180" i="35"/>
  <c r="F180" i="35"/>
  <c r="B129" i="35"/>
  <c r="F128" i="35"/>
  <c r="L127" i="35"/>
  <c r="F127" i="35"/>
  <c r="J126" i="35"/>
  <c r="F126" i="35"/>
  <c r="J125" i="35"/>
  <c r="F125" i="35"/>
  <c r="B70" i="35"/>
  <c r="F69" i="35"/>
  <c r="L68" i="35"/>
  <c r="F68" i="35"/>
  <c r="J67" i="35"/>
  <c r="F67" i="35"/>
  <c r="J66" i="35"/>
  <c r="F66" i="35"/>
  <c r="B12" i="35"/>
  <c r="F11" i="35"/>
  <c r="L10" i="35"/>
  <c r="F10" i="35"/>
  <c r="J9" i="35"/>
  <c r="F9" i="35"/>
  <c r="J8" i="35"/>
  <c r="F8" i="35"/>
  <c r="X7" i="35"/>
  <c r="X6" i="35"/>
  <c r="X5" i="35"/>
  <c r="X4" i="35"/>
  <c r="X3" i="35"/>
  <c r="X2" i="35"/>
  <c r="X1" i="35"/>
  <c r="G1" i="35" s="1"/>
  <c r="J799" i="35" l="1"/>
  <c r="J739" i="35"/>
  <c r="J685" i="35"/>
  <c r="J629" i="35"/>
  <c r="J574" i="35"/>
  <c r="J519" i="35"/>
  <c r="J462" i="35"/>
  <c r="J405" i="35"/>
  <c r="J351" i="35"/>
  <c r="J298" i="35"/>
  <c r="J240" i="35"/>
  <c r="J182" i="35"/>
  <c r="J127" i="35"/>
  <c r="J68" i="35"/>
  <c r="J10" i="35"/>
  <c r="H287" i="35"/>
  <c r="H263" i="35"/>
  <c r="H229" i="35"/>
  <c r="H206" i="35"/>
  <c r="E394" i="35"/>
  <c r="E383" i="35"/>
  <c r="E372" i="35"/>
  <c r="E361" i="35"/>
  <c r="D79" i="35"/>
  <c r="W834" i="35" l="1"/>
  <c r="W835" i="35"/>
  <c r="W836" i="35"/>
  <c r="W837" i="35"/>
  <c r="W842" i="35"/>
  <c r="Y842" i="35"/>
  <c r="W843" i="35"/>
  <c r="Y843" i="35"/>
  <c r="W844" i="35"/>
  <c r="Y844" i="35"/>
  <c r="W845" i="35"/>
  <c r="Y845" i="35"/>
  <c r="W846" i="35"/>
  <c r="Y846" i="35"/>
  <c r="W847" i="35"/>
  <c r="Y847" i="35"/>
  <c r="W848" i="35"/>
  <c r="Y848" i="35"/>
  <c r="W849" i="35"/>
  <c r="Y849" i="35"/>
  <c r="W850" i="35"/>
  <c r="Y850" i="35"/>
  <c r="W851" i="35"/>
  <c r="Y851" i="35"/>
  <c r="W852" i="35"/>
  <c r="Y852" i="35"/>
  <c r="W853" i="35"/>
  <c r="Y853" i="35"/>
  <c r="W856" i="35"/>
  <c r="Y856" i="35"/>
  <c r="W830" i="35"/>
  <c r="W831" i="35"/>
  <c r="W832" i="35"/>
  <c r="W833" i="35"/>
  <c r="C216" i="35"/>
  <c r="F191" i="35"/>
  <c r="E508" i="35" l="1"/>
  <c r="E483" i="35"/>
  <c r="E453" i="35"/>
  <c r="E430" i="35"/>
  <c r="C274" i="35"/>
  <c r="C250" i="35"/>
  <c r="C272" i="35"/>
  <c r="C248" i="35"/>
  <c r="H262" i="35" s="1"/>
  <c r="D81" i="35"/>
  <c r="C437" i="35"/>
  <c r="C288" i="35"/>
  <c r="C504" i="35" s="1"/>
  <c r="B286" i="35"/>
  <c r="C264" i="35"/>
  <c r="C479" i="35" s="1"/>
  <c r="B262" i="35"/>
  <c r="C230" i="35"/>
  <c r="C449" i="35" s="1"/>
  <c r="B228" i="35"/>
  <c r="C206" i="35"/>
  <c r="B204" i="35"/>
  <c r="C192" i="35"/>
  <c r="C414" i="35" s="1"/>
  <c r="C214" i="35"/>
  <c r="H228" i="35" s="1"/>
  <c r="C190" i="35"/>
  <c r="H205" i="35" s="1"/>
  <c r="E658" i="35"/>
  <c r="E659" i="35" s="1"/>
  <c r="E660" i="35" s="1"/>
  <c r="E651" i="35"/>
  <c r="E652" i="35" s="1"/>
  <c r="E644" i="35"/>
  <c r="E645" i="35" s="1"/>
  <c r="E637" i="35"/>
  <c r="E638" i="35" s="1"/>
  <c r="D608" i="35"/>
  <c r="D598" i="35"/>
  <c r="D599" i="35" s="1"/>
  <c r="D592" i="35"/>
  <c r="D772" i="35" s="1"/>
  <c r="D582" i="35"/>
  <c r="D583" i="35" s="1"/>
  <c r="AA288" i="35"/>
  <c r="B338" i="35"/>
  <c r="AA263" i="35"/>
  <c r="B378" i="35"/>
  <c r="B544" i="35" s="1"/>
  <c r="AA231" i="35"/>
  <c r="B367" i="35"/>
  <c r="AA205" i="35"/>
  <c r="F273" i="35"/>
  <c r="B356" i="35"/>
  <c r="D147" i="35"/>
  <c r="I201" i="35" l="1"/>
  <c r="C426" i="35"/>
  <c r="E395" i="35"/>
  <c r="D584" i="35"/>
  <c r="D770" i="35" s="1"/>
  <c r="G771" i="35" s="1"/>
  <c r="C164" i="35"/>
  <c r="C700" i="35" s="1"/>
  <c r="F215" i="35"/>
  <c r="I225" i="35" s="1"/>
  <c r="E454" i="35"/>
  <c r="C157" i="35"/>
  <c r="C692" i="35" s="1"/>
  <c r="D606" i="35"/>
  <c r="D607" i="35" s="1"/>
  <c r="H836" i="35" s="1"/>
  <c r="G156" i="35"/>
  <c r="G157" i="35"/>
  <c r="C708" i="35" s="1"/>
  <c r="C709" i="35" s="1"/>
  <c r="C156" i="35"/>
  <c r="D590" i="35"/>
  <c r="D591" i="35" s="1"/>
  <c r="E832" i="35" s="1"/>
  <c r="B311" i="35"/>
  <c r="B524" i="35" s="1"/>
  <c r="G163" i="35"/>
  <c r="B389" i="35"/>
  <c r="B554" i="35" s="1"/>
  <c r="H207" i="35"/>
  <c r="H209" i="35" s="1"/>
  <c r="V204" i="35" s="1"/>
  <c r="V206" i="35" s="1"/>
  <c r="V208" i="35" s="1"/>
  <c r="V210" i="35" s="1"/>
  <c r="H210" i="35" s="1"/>
  <c r="H230" i="35"/>
  <c r="H232" i="35" s="1"/>
  <c r="V230" i="35" s="1"/>
  <c r="V232" i="35" s="1"/>
  <c r="V234" i="35" s="1"/>
  <c r="V236" i="35" s="1"/>
  <c r="H233" i="35" s="1"/>
  <c r="H264" i="35"/>
  <c r="H266" i="35" s="1"/>
  <c r="V262" i="35" s="1"/>
  <c r="V264" i="35" s="1"/>
  <c r="V266" i="35" s="1"/>
  <c r="V268" i="35" s="1"/>
  <c r="H267" i="35" s="1"/>
  <c r="D585" i="35"/>
  <c r="E362" i="35"/>
  <c r="C163" i="35"/>
  <c r="I200" i="35"/>
  <c r="H288" i="35"/>
  <c r="H290" i="35" s="1"/>
  <c r="V287" i="35" s="1"/>
  <c r="V289" i="35" s="1"/>
  <c r="V291" i="35" s="1"/>
  <c r="V293" i="35" s="1"/>
  <c r="H291" i="35" s="1"/>
  <c r="D593" i="35"/>
  <c r="C492" i="35"/>
  <c r="H834" i="35"/>
  <c r="H774" i="35"/>
  <c r="E774" i="35"/>
  <c r="E834" i="35"/>
  <c r="G773" i="35"/>
  <c r="G833" i="35"/>
  <c r="E780" i="35"/>
  <c r="E653" i="35"/>
  <c r="E840" i="35"/>
  <c r="E778" i="35"/>
  <c r="E838" i="35"/>
  <c r="E639" i="35"/>
  <c r="I283" i="35"/>
  <c r="I282" i="35"/>
  <c r="D776" i="35"/>
  <c r="D836" i="35"/>
  <c r="E646" i="35"/>
  <c r="E839" i="35"/>
  <c r="E779" i="35"/>
  <c r="C841" i="35"/>
  <c r="C781" i="35"/>
  <c r="E770" i="35"/>
  <c r="E830" i="35"/>
  <c r="E384" i="35"/>
  <c r="E781" i="35"/>
  <c r="C467" i="35"/>
  <c r="D832" i="35"/>
  <c r="B320" i="35"/>
  <c r="B329" i="35"/>
  <c r="B465" i="35" s="1"/>
  <c r="D601" i="35"/>
  <c r="E373" i="35"/>
  <c r="D600" i="35"/>
  <c r="D609" i="35"/>
  <c r="E841" i="35"/>
  <c r="G164" i="35"/>
  <c r="C716" i="35" s="1"/>
  <c r="G454" i="35"/>
  <c r="K788" i="35" l="1"/>
  <c r="K789" i="35" s="1"/>
  <c r="C710" i="35"/>
  <c r="C712" i="35"/>
  <c r="E431" i="35"/>
  <c r="E484" i="35"/>
  <c r="E509" i="35"/>
  <c r="H234" i="35"/>
  <c r="Y834" i="35"/>
  <c r="E318" i="35"/>
  <c r="I199" i="35"/>
  <c r="E315" i="35" s="1"/>
  <c r="E316" i="35" s="1"/>
  <c r="G831" i="35"/>
  <c r="D830" i="35"/>
  <c r="I224" i="35"/>
  <c r="E327" i="35" s="1"/>
  <c r="F249" i="35"/>
  <c r="E776" i="35"/>
  <c r="E837" i="35" s="1"/>
  <c r="C695" i="35"/>
  <c r="I783" i="35" s="1"/>
  <c r="H776" i="35"/>
  <c r="H837" i="35" s="1"/>
  <c r="C693" i="35"/>
  <c r="C701" i="35"/>
  <c r="C703" i="35"/>
  <c r="I786" i="35" s="1"/>
  <c r="C711" i="35"/>
  <c r="I849" i="35" s="1"/>
  <c r="B490" i="35"/>
  <c r="I788" i="35"/>
  <c r="J850" i="35"/>
  <c r="K848" i="35"/>
  <c r="E836" i="35"/>
  <c r="Y836" i="35" s="1"/>
  <c r="B412" i="35"/>
  <c r="E772" i="35"/>
  <c r="E773" i="35" s="1"/>
  <c r="I281" i="35"/>
  <c r="E342" i="35" s="1"/>
  <c r="E343" i="35" s="1"/>
  <c r="G772" i="35"/>
  <c r="G832" i="35"/>
  <c r="G830" i="35"/>
  <c r="G770" i="35"/>
  <c r="E345" i="35"/>
  <c r="H292" i="35"/>
  <c r="E392" i="35"/>
  <c r="H211" i="35"/>
  <c r="E357" i="35" s="1"/>
  <c r="E359" i="35"/>
  <c r="E381" i="35"/>
  <c r="H268" i="35"/>
  <c r="C839" i="35"/>
  <c r="C779" i="35"/>
  <c r="H840" i="35"/>
  <c r="Y840" i="35" s="1"/>
  <c r="H780" i="35"/>
  <c r="C717" i="35"/>
  <c r="C719" i="35"/>
  <c r="G774" i="35"/>
  <c r="G834" i="35"/>
  <c r="H781" i="35"/>
  <c r="H841" i="35"/>
  <c r="Y841" i="35" s="1"/>
  <c r="C780" i="35"/>
  <c r="C840" i="35"/>
  <c r="F841" i="35"/>
  <c r="W841" i="35" s="1"/>
  <c r="F781" i="35"/>
  <c r="K849" i="35"/>
  <c r="D774" i="35"/>
  <c r="D834" i="35"/>
  <c r="H830" i="35"/>
  <c r="Y830" i="35" s="1"/>
  <c r="H770" i="35"/>
  <c r="E831" i="35"/>
  <c r="E771" i="35"/>
  <c r="H838" i="35"/>
  <c r="Y838" i="35" s="1"/>
  <c r="H778" i="35"/>
  <c r="E835" i="35"/>
  <c r="E775" i="35"/>
  <c r="G836" i="35"/>
  <c r="G776" i="35"/>
  <c r="E370" i="35"/>
  <c r="H779" i="35"/>
  <c r="H839" i="35"/>
  <c r="Y839" i="35" s="1"/>
  <c r="H775" i="35"/>
  <c r="H835" i="35"/>
  <c r="B534" i="35"/>
  <c r="B435" i="35"/>
  <c r="C778" i="35"/>
  <c r="C838" i="35"/>
  <c r="G837" i="35"/>
  <c r="G777" i="35"/>
  <c r="G509" i="35"/>
  <c r="G431" i="35"/>
  <c r="G484" i="35"/>
  <c r="Y837" i="35" l="1"/>
  <c r="Y835" i="35"/>
  <c r="K785" i="35"/>
  <c r="C702" i="35"/>
  <c r="I785" i="35" s="1"/>
  <c r="C704" i="35"/>
  <c r="C718" i="35"/>
  <c r="I851" i="35" s="1"/>
  <c r="C720" i="35"/>
  <c r="J853" i="35" s="1"/>
  <c r="K842" i="35"/>
  <c r="C694" i="35"/>
  <c r="I842" i="35" s="1"/>
  <c r="C696" i="35"/>
  <c r="E393" i="35"/>
  <c r="D562" i="35" s="1"/>
  <c r="E371" i="35"/>
  <c r="C755" i="35" s="1"/>
  <c r="E382" i="35"/>
  <c r="C756" i="35" s="1"/>
  <c r="E360" i="35"/>
  <c r="C814" i="35" s="1"/>
  <c r="E313" i="35"/>
  <c r="E314" i="35" s="1"/>
  <c r="E317" i="35"/>
  <c r="I223" i="35"/>
  <c r="E324" i="35" s="1"/>
  <c r="E325" i="35" s="1"/>
  <c r="F811" i="35" s="1"/>
  <c r="I259" i="35"/>
  <c r="I258" i="35"/>
  <c r="E777" i="35"/>
  <c r="I846" i="35"/>
  <c r="I845" i="35"/>
  <c r="I843" i="35"/>
  <c r="I782" i="35"/>
  <c r="H777" i="35"/>
  <c r="K782" i="35"/>
  <c r="K843" i="35" s="1"/>
  <c r="K845" i="35"/>
  <c r="I848" i="35"/>
  <c r="I789" i="35"/>
  <c r="J790" i="35"/>
  <c r="H832" i="35"/>
  <c r="Y832" i="35" s="1"/>
  <c r="H772" i="35"/>
  <c r="H833" i="35" s="1"/>
  <c r="E833" i="35"/>
  <c r="E386" i="35"/>
  <c r="E385" i="35"/>
  <c r="E396" i="35"/>
  <c r="D831" i="35"/>
  <c r="D771" i="35"/>
  <c r="E397" i="35"/>
  <c r="D833" i="35"/>
  <c r="D773" i="35"/>
  <c r="G835" i="35"/>
  <c r="G775" i="35"/>
  <c r="E481" i="35"/>
  <c r="E379" i="35"/>
  <c r="E380" i="35" s="1"/>
  <c r="I810" i="35"/>
  <c r="I750" i="35"/>
  <c r="K847" i="35"/>
  <c r="K787" i="35"/>
  <c r="K786" i="35"/>
  <c r="K846" i="35"/>
  <c r="I811" i="35"/>
  <c r="I751" i="35"/>
  <c r="K851" i="35"/>
  <c r="K791" i="35"/>
  <c r="F779" i="35"/>
  <c r="F839" i="35"/>
  <c r="W839" i="35" s="1"/>
  <c r="D528" i="35"/>
  <c r="C750" i="35"/>
  <c r="F750" i="35"/>
  <c r="F810" i="35"/>
  <c r="C810" i="35"/>
  <c r="E344" i="35"/>
  <c r="E506" i="35"/>
  <c r="E340" i="35"/>
  <c r="E341" i="35" s="1"/>
  <c r="E390" i="35"/>
  <c r="E391" i="35" s="1"/>
  <c r="F780" i="35"/>
  <c r="F840" i="35"/>
  <c r="W840" i="35" s="1"/>
  <c r="D835" i="35"/>
  <c r="D775" i="35"/>
  <c r="F778" i="35"/>
  <c r="F838" i="35"/>
  <c r="W838" i="35" s="1"/>
  <c r="H771" i="35"/>
  <c r="H831" i="35"/>
  <c r="Y831" i="35" s="1"/>
  <c r="I852" i="35"/>
  <c r="I792" i="35"/>
  <c r="D558" i="35"/>
  <c r="C813" i="35"/>
  <c r="F813" i="35"/>
  <c r="C753" i="35"/>
  <c r="F753" i="35"/>
  <c r="E363" i="35"/>
  <c r="D837" i="35"/>
  <c r="D777" i="35"/>
  <c r="E428" i="35"/>
  <c r="E358" i="35"/>
  <c r="I813" i="35"/>
  <c r="I753" i="35"/>
  <c r="E326" i="35"/>
  <c r="E451" i="35"/>
  <c r="E368" i="35"/>
  <c r="E369" i="35" s="1"/>
  <c r="K790" i="35"/>
  <c r="K850" i="35"/>
  <c r="E374" i="35"/>
  <c r="E375" i="35"/>
  <c r="E364" i="35"/>
  <c r="G363" i="35"/>
  <c r="G375" i="35"/>
  <c r="G364" i="35"/>
  <c r="G396" i="35"/>
  <c r="G397" i="35"/>
  <c r="G374" i="35"/>
  <c r="G385" i="35"/>
  <c r="G386" i="35"/>
  <c r="I791" i="35" l="1"/>
  <c r="Y833" i="35"/>
  <c r="W813" i="35"/>
  <c r="J787" i="35"/>
  <c r="J847" i="35"/>
  <c r="J793" i="35"/>
  <c r="J844" i="35"/>
  <c r="J784" i="35"/>
  <c r="F756" i="35"/>
  <c r="D552" i="35"/>
  <c r="C827" i="35" s="1"/>
  <c r="W827" i="35" s="1"/>
  <c r="F757" i="35"/>
  <c r="C817" i="35"/>
  <c r="E398" i="35"/>
  <c r="E399" i="35"/>
  <c r="F817" i="35"/>
  <c r="C757" i="35"/>
  <c r="E377" i="35"/>
  <c r="F755" i="35"/>
  <c r="C816" i="35"/>
  <c r="C815" i="35"/>
  <c r="F816" i="35"/>
  <c r="E376" i="35"/>
  <c r="E387" i="35"/>
  <c r="E388" i="35"/>
  <c r="F815" i="35"/>
  <c r="D542" i="35"/>
  <c r="C765" i="35" s="1"/>
  <c r="C754" i="35"/>
  <c r="D532" i="35"/>
  <c r="C763" i="35" s="1"/>
  <c r="E366" i="35"/>
  <c r="E365" i="35"/>
  <c r="F814" i="35"/>
  <c r="W814" i="35" s="1"/>
  <c r="F754" i="35"/>
  <c r="W810" i="35"/>
  <c r="H773" i="35"/>
  <c r="F751" i="35"/>
  <c r="C751" i="35"/>
  <c r="I257" i="35"/>
  <c r="E333" i="35" s="1"/>
  <c r="E334" i="35" s="1"/>
  <c r="C752" i="35" s="1"/>
  <c r="E322" i="35"/>
  <c r="E323" i="35" s="1"/>
  <c r="E751" i="35" s="1"/>
  <c r="C811" i="35"/>
  <c r="W811" i="35" s="1"/>
  <c r="D538" i="35"/>
  <c r="C764" i="35" s="1"/>
  <c r="E336" i="35"/>
  <c r="E335" i="35"/>
  <c r="K812" i="35" s="1"/>
  <c r="K783" i="35"/>
  <c r="K844" i="35" s="1"/>
  <c r="K811" i="35"/>
  <c r="K751" i="35"/>
  <c r="E452" i="35"/>
  <c r="E759" i="35" s="1"/>
  <c r="E455" i="35"/>
  <c r="K753" i="35"/>
  <c r="K813" i="35"/>
  <c r="K793" i="35"/>
  <c r="K853" i="35"/>
  <c r="K852" i="35"/>
  <c r="K792" i="35"/>
  <c r="E507" i="35"/>
  <c r="E761" i="35" s="1"/>
  <c r="E510" i="35"/>
  <c r="E482" i="35"/>
  <c r="E760" i="35" s="1"/>
  <c r="E485" i="35"/>
  <c r="H755" i="35"/>
  <c r="D541" i="35"/>
  <c r="H815" i="35"/>
  <c r="E815" i="35"/>
  <c r="E755" i="35"/>
  <c r="K810" i="35"/>
  <c r="K750" i="35"/>
  <c r="H814" i="35"/>
  <c r="H754" i="35"/>
  <c r="E754" i="35"/>
  <c r="D531" i="35"/>
  <c r="E814" i="35"/>
  <c r="H757" i="35"/>
  <c r="D561" i="35"/>
  <c r="E817" i="35"/>
  <c r="H817" i="35"/>
  <c r="E757" i="35"/>
  <c r="C762" i="35"/>
  <c r="C822" i="35"/>
  <c r="W822" i="35" s="1"/>
  <c r="C829" i="35"/>
  <c r="W829" i="35" s="1"/>
  <c r="C769" i="35"/>
  <c r="H810" i="35"/>
  <c r="H750" i="35"/>
  <c r="E750" i="35"/>
  <c r="E810" i="35"/>
  <c r="D527" i="35"/>
  <c r="E432" i="35"/>
  <c r="E429" i="35"/>
  <c r="E758" i="35" s="1"/>
  <c r="C828" i="35"/>
  <c r="W828" i="35" s="1"/>
  <c r="C768" i="35"/>
  <c r="E813" i="35"/>
  <c r="E753" i="35"/>
  <c r="H813" i="35"/>
  <c r="H753" i="35"/>
  <c r="D557" i="35"/>
  <c r="H816" i="35"/>
  <c r="H756" i="35"/>
  <c r="E756" i="35"/>
  <c r="D551" i="35"/>
  <c r="E816" i="35"/>
  <c r="G510" i="35"/>
  <c r="G366" i="35"/>
  <c r="G485" i="35"/>
  <c r="G376" i="35"/>
  <c r="G388" i="35"/>
  <c r="G377" i="35"/>
  <c r="G399" i="35"/>
  <c r="G387" i="35"/>
  <c r="G455" i="35"/>
  <c r="G365" i="35"/>
  <c r="G432" i="35"/>
  <c r="G398" i="35"/>
  <c r="W817" i="35" l="1"/>
  <c r="W816" i="35"/>
  <c r="C767" i="35"/>
  <c r="W815" i="35"/>
  <c r="E511" i="35"/>
  <c r="E456" i="35"/>
  <c r="E486" i="35"/>
  <c r="C825" i="35"/>
  <c r="W825" i="35" s="1"/>
  <c r="E433" i="35"/>
  <c r="C823" i="35"/>
  <c r="W823" i="35" s="1"/>
  <c r="Y814" i="35"/>
  <c r="Y817" i="35"/>
  <c r="Y816" i="35"/>
  <c r="Y815" i="35"/>
  <c r="Y813" i="35"/>
  <c r="Y810" i="35"/>
  <c r="F812" i="35"/>
  <c r="C824" i="35"/>
  <c r="W824" i="35" s="1"/>
  <c r="E811" i="35"/>
  <c r="H751" i="35"/>
  <c r="D537" i="35"/>
  <c r="H811" i="35"/>
  <c r="D548" i="35"/>
  <c r="C812" i="35"/>
  <c r="E331" i="35"/>
  <c r="E332" i="35" s="1"/>
  <c r="F752" i="35"/>
  <c r="I812" i="35"/>
  <c r="I752" i="35"/>
  <c r="K752" i="35"/>
  <c r="K784" i="35"/>
  <c r="E827" i="35"/>
  <c r="Y827" i="35" s="1"/>
  <c r="E767" i="35"/>
  <c r="E828" i="35"/>
  <c r="Y828" i="35" s="1"/>
  <c r="E768" i="35"/>
  <c r="H761" i="35"/>
  <c r="C821" i="35"/>
  <c r="E821" i="35"/>
  <c r="E769" i="35"/>
  <c r="E829" i="35"/>
  <c r="Y829" i="35" s="1"/>
  <c r="E762" i="35"/>
  <c r="E822" i="35"/>
  <c r="Y822" i="35" s="1"/>
  <c r="C820" i="35"/>
  <c r="E820" i="35"/>
  <c r="H760" i="35"/>
  <c r="E765" i="35"/>
  <c r="E825" i="35"/>
  <c r="Y825" i="35" s="1"/>
  <c r="U540" i="35"/>
  <c r="C819" i="35"/>
  <c r="H759" i="35"/>
  <c r="E819" i="35"/>
  <c r="H758" i="35"/>
  <c r="C818" i="35"/>
  <c r="E818" i="35"/>
  <c r="E823" i="35"/>
  <c r="Y823" i="35" s="1"/>
  <c r="E763" i="35"/>
  <c r="G456" i="35"/>
  <c r="G511" i="35"/>
  <c r="G433" i="35"/>
  <c r="G486" i="35"/>
  <c r="W812" i="35" l="1"/>
  <c r="Y811" i="35"/>
  <c r="E824" i="35"/>
  <c r="Y824" i="35" s="1"/>
  <c r="E764" i="35"/>
  <c r="D547" i="35"/>
  <c r="E752" i="35"/>
  <c r="E812" i="35"/>
  <c r="H812" i="35"/>
  <c r="H752" i="35"/>
  <c r="C826" i="35"/>
  <c r="W826" i="35" s="1"/>
  <c r="C766" i="35"/>
  <c r="H820" i="35"/>
  <c r="Y820" i="35" s="1"/>
  <c r="F820" i="35"/>
  <c r="W820" i="35" s="1"/>
  <c r="F819" i="35"/>
  <c r="W819" i="35" s="1"/>
  <c r="H819" i="35"/>
  <c r="Y819" i="35" s="1"/>
  <c r="H818" i="35"/>
  <c r="Y818" i="35" s="1"/>
  <c r="F818" i="35"/>
  <c r="W818" i="35" s="1"/>
  <c r="H821" i="35"/>
  <c r="Y821" i="35" s="1"/>
  <c r="F821" i="35"/>
  <c r="W821" i="35" s="1"/>
  <c r="Y812" i="35" l="1"/>
  <c r="E826" i="35"/>
  <c r="Y826" i="35" s="1"/>
  <c r="E766" i="35"/>
</calcChain>
</file>

<file path=xl/sharedStrings.xml><?xml version="1.0" encoding="utf-8"?>
<sst xmlns="http://schemas.openxmlformats.org/spreadsheetml/2006/main" count="988" uniqueCount="176">
  <si>
    <t>R. Abbott</t>
  </si>
  <si>
    <t>Author:</t>
  </si>
  <si>
    <t>Check:</t>
  </si>
  <si>
    <t>Date:</t>
  </si>
  <si>
    <t>Revision:</t>
  </si>
  <si>
    <t>Report:</t>
  </si>
  <si>
    <t>Page:</t>
  </si>
  <si>
    <t>Section:</t>
  </si>
  <si>
    <t>Document Number:</t>
  </si>
  <si>
    <t>Revision Level :</t>
  </si>
  <si>
    <t xml:space="preserve"> </t>
  </si>
  <si>
    <t>in</t>
  </si>
  <si>
    <t>=</t>
  </si>
  <si>
    <t xml:space="preserve">Page </t>
  </si>
  <si>
    <t>Title</t>
  </si>
  <si>
    <t>Sub</t>
  </si>
  <si>
    <t>Fig</t>
  </si>
  <si>
    <t>Table</t>
  </si>
  <si>
    <t>No</t>
  </si>
  <si>
    <t>Main Landing Gear</t>
  </si>
  <si>
    <t>Note on aircraft balance for landing gear load cases.</t>
  </si>
  <si>
    <t>The load introduced through the landing gear will be considered as an instantaneous load effect seperate from the wing lift which will be balanced by the Horizontal tail.</t>
  </si>
  <si>
    <t>Any translational and rotational accellerations about the aircraft Center of Gravity will be solely due to the loads developed at the landing gear.</t>
  </si>
  <si>
    <t>Aircraft Balance For Landing Cases</t>
  </si>
  <si>
    <t>L =</t>
  </si>
  <si>
    <t>Assumptions for Stroke and Efficiency</t>
  </si>
  <si>
    <t>Assuming a constant force response from the gear modified with an efficiency factor:</t>
  </si>
  <si>
    <t>Estimating the Landing gear atrike at limit level</t>
  </si>
  <si>
    <t>Strut Stroke</t>
  </si>
  <si>
    <t>Total Gear Stroke =</t>
  </si>
  <si>
    <t>in (including 1in tire deflection)</t>
  </si>
  <si>
    <t>Substract 1in at the strut for ultmate stroke margin</t>
  </si>
  <si>
    <t>Total Strut Stroke =</t>
  </si>
  <si>
    <t>Divide by 1.5 to get to limit LG stroke</t>
  </si>
  <si>
    <t>Assumed Oleo Strut efficiency factor:</t>
  </si>
  <si>
    <t>Landing Gear Static Loads</t>
  </si>
  <si>
    <t>x in (c.g. Position)</t>
  </si>
  <si>
    <t>Mass =</t>
  </si>
  <si>
    <t>lb</t>
  </si>
  <si>
    <t>Aircraft LG and CG configurations</t>
  </si>
  <si>
    <t>W =</t>
  </si>
  <si>
    <t>deg</t>
  </si>
  <si>
    <t>a' =</t>
  </si>
  <si>
    <t>b' =</t>
  </si>
  <si>
    <t>d' =</t>
  </si>
  <si>
    <t>Descent Rate per 23.473 (d)</t>
  </si>
  <si>
    <t>Average Strut stroke speed (assuming a linear deccelleration from Vs to zero)</t>
  </si>
  <si>
    <t>Vs =</t>
  </si>
  <si>
    <t>fps</t>
  </si>
  <si>
    <t>Pessimistic Oleo Pneumatic Efficiency =</t>
  </si>
  <si>
    <t>Wt =</t>
  </si>
  <si>
    <t>lbs, Landing Weight</t>
  </si>
  <si>
    <t>Time for strut to depress</t>
  </si>
  <si>
    <t>Ref Curry - Landing Gear Design, Principles and Practices</t>
  </si>
  <si>
    <t>S =</t>
  </si>
  <si>
    <t>ft², Wing Area</t>
  </si>
  <si>
    <t>seconds</t>
  </si>
  <si>
    <t>f/s</t>
  </si>
  <si>
    <t>Constant deccelleration during stroke</t>
  </si>
  <si>
    <t>Vs need be no more than 10fps</t>
  </si>
  <si>
    <t>ft/s2</t>
  </si>
  <si>
    <t>Divige by 32.2 to calculate load factor</t>
  </si>
  <si>
    <t>n =</t>
  </si>
  <si>
    <t xml:space="preserve"> g</t>
  </si>
  <si>
    <t>n - L =</t>
  </si>
  <si>
    <t>Load Cases Per Part 23 App. C, Table C23.1</t>
  </si>
  <si>
    <t>Level Landing With Inclined Reactions, 23.479 (i)</t>
  </si>
  <si>
    <t>Reference Section:</t>
  </si>
  <si>
    <t>23.479(a)(1)</t>
  </si>
  <si>
    <t>Shock absorber extension:</t>
  </si>
  <si>
    <t>%</t>
  </si>
  <si>
    <t>Tire Deflection:</t>
  </si>
  <si>
    <t>K =</t>
  </si>
  <si>
    <t>Ref Part 23 App. C. Note (1) Table C23.1</t>
  </si>
  <si>
    <t>Level Landing With Nose Gear Just Clear of the Ground, 23.479 (ii)</t>
  </si>
  <si>
    <t>slugft²</t>
  </si>
  <si>
    <t>Dist from CG to MLG =</t>
  </si>
  <si>
    <t>ft</t>
  </si>
  <si>
    <t>Forward Pitching Moment (spin up) =</t>
  </si>
  <si>
    <t>ftlb</t>
  </si>
  <si>
    <t>Forward Pitching Moment (spring back) =</t>
  </si>
  <si>
    <t>Pitching accelleration (spin up) =</t>
  </si>
  <si>
    <t>rad/sec</t>
  </si>
  <si>
    <t>Pitching accelleration (spring back) =</t>
  </si>
  <si>
    <t>Tail Down Landing, 23.481</t>
  </si>
  <si>
    <t xml:space="preserve">Aircraft Angle of Attack = </t>
  </si>
  <si>
    <t>Forward Pitching Moment =</t>
  </si>
  <si>
    <t>Pitching accelleration =</t>
  </si>
  <si>
    <t>One Wheel Landing, 23.483</t>
  </si>
  <si>
    <t>Level Landing:</t>
  </si>
  <si>
    <t>Level Landing With nose gear clear of ground:</t>
  </si>
  <si>
    <t>Side Load Conditions, 23.485</t>
  </si>
  <si>
    <t>Braked Roll Conditions, 23.493</t>
  </si>
  <si>
    <t>Supplementary Conditions for Nose Wheels, 23.499</t>
  </si>
  <si>
    <t>lb, static load on the nose gear</t>
  </si>
  <si>
    <t>Reaction Load Summary Table</t>
  </si>
  <si>
    <t>Results in Ground Coordinate System</t>
  </si>
  <si>
    <t>Main Gear</t>
  </si>
  <si>
    <t>Nose Gear</t>
  </si>
  <si>
    <t>LH</t>
  </si>
  <si>
    <t>RH</t>
  </si>
  <si>
    <t>x</t>
  </si>
  <si>
    <t>y</t>
  </si>
  <si>
    <t>z</t>
  </si>
  <si>
    <t>(lb)</t>
  </si>
  <si>
    <t>23.479(i)</t>
  </si>
  <si>
    <t>Fwd CG</t>
  </si>
  <si>
    <t>Aft CG</t>
  </si>
  <si>
    <t>Min Weight</t>
  </si>
  <si>
    <t>MLW</t>
  </si>
  <si>
    <t>23.479(ii)</t>
  </si>
  <si>
    <t>23.483 (LL)</t>
  </si>
  <si>
    <t>(applied as standalone case on RHS also)</t>
  </si>
  <si>
    <t>Results in Aircraft Coordinate System</t>
  </si>
  <si>
    <t>Max Forward CG Case</t>
  </si>
  <si>
    <t>Max Aft CG Case</t>
  </si>
  <si>
    <t>Minimum Weight Case</t>
  </si>
  <si>
    <t>Maximum Landing Weight Case</t>
  </si>
  <si>
    <t>Total Report Pages:</t>
  </si>
  <si>
    <t>Running Counts</t>
  </si>
  <si>
    <t>Total Sheet Pages:</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</si>
  <si>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</si>
  <si>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</si>
  <si>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</si>
  <si>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</si>
  <si>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</si>
  <si>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</si>
  <si>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</si>
  <si>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</si>
  <si>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</si>
  <si>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</si>
  <si>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</si>
  <si>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</si>
  <si>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</si>
  <si>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</si>
  <si>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Wing Area =</t>
  </si>
  <si>
    <t>ft²</t>
  </si>
  <si>
    <t>AA-SM-503</t>
  </si>
  <si>
    <r>
      <t>x</t>
    </r>
    <r>
      <rPr>
        <vertAlign val="subscript"/>
        <sz val="10"/>
        <rFont val="Calibri"/>
        <family val="2"/>
        <scheme val="minor"/>
      </rPr>
      <t>c.g.</t>
    </r>
    <r>
      <rPr>
        <sz val="10"/>
        <rFont val="Calibri"/>
        <family val="2"/>
        <scheme val="minor"/>
      </rPr>
      <t xml:space="preserve"> =</t>
    </r>
  </si>
  <si>
    <r>
      <t>Fv</t>
    </r>
    <r>
      <rPr>
        <vertAlign val="subscript"/>
        <sz val="10"/>
        <rFont val="Calibri"/>
        <family val="2"/>
        <scheme val="minor"/>
      </rPr>
      <t>m</t>
    </r>
    <r>
      <rPr>
        <sz val="10"/>
        <rFont val="Calibri"/>
        <family val="2"/>
        <scheme val="minor"/>
      </rPr>
      <t xml:space="preserve"> =</t>
    </r>
  </si>
  <si>
    <r>
      <t>Fv</t>
    </r>
    <r>
      <rPr>
        <vertAlign val="subscript"/>
        <sz val="10"/>
        <rFont val="Calibri"/>
        <family val="2"/>
        <scheme val="minor"/>
      </rPr>
      <t>n</t>
    </r>
    <r>
      <rPr>
        <sz val="10"/>
        <rFont val="Calibri"/>
        <family val="2"/>
        <scheme val="minor"/>
      </rPr>
      <t xml:space="preserve"> =</t>
    </r>
  </si>
  <si>
    <r>
      <t>I</t>
    </r>
    <r>
      <rPr>
        <vertAlign val="subscript"/>
        <sz val="10"/>
        <rFont val="Calibri"/>
        <family val="2"/>
        <scheme val="minor"/>
      </rPr>
      <t>yy</t>
    </r>
    <r>
      <rPr>
        <sz val="10"/>
        <rFont val="Calibri"/>
        <family val="2"/>
        <scheme val="minor"/>
      </rPr>
      <t xml:space="preserve"> =</t>
    </r>
  </si>
  <si>
    <r>
      <t>4.4 (Wt/S)</t>
    </r>
    <r>
      <rPr>
        <vertAlign val="superscript"/>
        <sz val="10"/>
        <color theme="1"/>
        <rFont val="Calibri"/>
        <family val="2"/>
        <scheme val="minor"/>
      </rPr>
      <t>¼</t>
    </r>
  </si>
  <si>
    <r>
      <t>Fv</t>
    </r>
    <r>
      <rPr>
        <vertAlign val="subscript"/>
        <sz val="10"/>
        <rFont val="Calibri"/>
        <family val="2"/>
        <scheme val="minor"/>
      </rPr>
      <t>mLH</t>
    </r>
    <r>
      <rPr>
        <sz val="10"/>
        <rFont val="Calibri"/>
        <family val="2"/>
        <scheme val="minor"/>
      </rPr>
      <t>, Fv</t>
    </r>
    <r>
      <rPr>
        <vertAlign val="subscript"/>
        <sz val="10"/>
        <rFont val="Calibri"/>
        <family val="2"/>
        <scheme val="minor"/>
      </rPr>
      <t>mRH</t>
    </r>
    <r>
      <rPr>
        <sz val="10"/>
        <rFont val="Calibri"/>
        <family val="2"/>
        <scheme val="minor"/>
      </rPr>
      <t xml:space="preserve"> =</t>
    </r>
  </si>
  <si>
    <r>
      <t>Fh</t>
    </r>
    <r>
      <rPr>
        <vertAlign val="subscript"/>
        <sz val="10"/>
        <rFont val="Calibri"/>
        <family val="2"/>
        <scheme val="minor"/>
      </rPr>
      <t>m</t>
    </r>
    <r>
      <rPr>
        <sz val="10"/>
        <rFont val="Calibri"/>
        <family val="2"/>
        <scheme val="minor"/>
      </rPr>
      <t xml:space="preserve"> =</t>
    </r>
  </si>
  <si>
    <r>
      <t>Fh</t>
    </r>
    <r>
      <rPr>
        <vertAlign val="subscript"/>
        <sz val="10"/>
        <rFont val="Calibri"/>
        <family val="2"/>
        <scheme val="minor"/>
      </rPr>
      <t>mLH</t>
    </r>
    <r>
      <rPr>
        <sz val="10"/>
        <rFont val="Calibri"/>
        <family val="2"/>
        <scheme val="minor"/>
      </rPr>
      <t>, Fh</t>
    </r>
    <r>
      <rPr>
        <vertAlign val="subscript"/>
        <sz val="10"/>
        <rFont val="Calibri"/>
        <family val="2"/>
        <scheme val="minor"/>
      </rPr>
      <t>mRH</t>
    </r>
    <r>
      <rPr>
        <sz val="10"/>
        <rFont val="Calibri"/>
        <family val="2"/>
        <scheme val="minor"/>
      </rPr>
      <t xml:space="preserve"> =</t>
    </r>
  </si>
  <si>
    <r>
      <t>Fh</t>
    </r>
    <r>
      <rPr>
        <vertAlign val="subscript"/>
        <sz val="10"/>
        <rFont val="Calibri"/>
        <family val="2"/>
        <scheme val="minor"/>
      </rPr>
      <t>n</t>
    </r>
    <r>
      <rPr>
        <sz val="10"/>
        <rFont val="Calibri"/>
        <family val="2"/>
        <scheme val="minor"/>
      </rPr>
      <t xml:space="preserve"> =</t>
    </r>
  </si>
  <si>
    <r>
      <t>Fl</t>
    </r>
    <r>
      <rPr>
        <vertAlign val="subscript"/>
        <sz val="10"/>
        <rFont val="Calibri"/>
        <family val="2"/>
        <scheme val="minor"/>
      </rPr>
      <t>mRH</t>
    </r>
    <r>
      <rPr>
        <sz val="10"/>
        <rFont val="Calibri"/>
        <family val="2"/>
        <scheme val="minor"/>
      </rPr>
      <t xml:space="preserve"> =</t>
    </r>
  </si>
  <si>
    <r>
      <t>Fl</t>
    </r>
    <r>
      <rPr>
        <vertAlign val="subscript"/>
        <sz val="10"/>
        <rFont val="Calibri"/>
        <family val="2"/>
        <scheme val="minor"/>
      </rPr>
      <t>mLH</t>
    </r>
    <r>
      <rPr>
        <sz val="10"/>
        <rFont val="Calibri"/>
        <family val="2"/>
        <scheme val="minor"/>
      </rPr>
      <t xml:space="preserve"> =</t>
    </r>
  </si>
  <si>
    <r>
      <t>F</t>
    </r>
    <r>
      <rPr>
        <vertAlign val="subscript"/>
        <sz val="10"/>
        <color theme="1"/>
        <rFont val="Calibri"/>
        <family val="2"/>
        <scheme val="minor"/>
      </rPr>
      <t>n</t>
    </r>
    <r>
      <rPr>
        <sz val="10"/>
        <color theme="1"/>
        <rFont val="Calibri"/>
        <family val="2"/>
        <scheme val="minor"/>
      </rPr>
      <t xml:space="preserve"> =</t>
    </r>
  </si>
  <si>
    <r>
      <t>Fl</t>
    </r>
    <r>
      <rPr>
        <vertAlign val="subscript"/>
        <sz val="10"/>
        <rFont val="Calibri"/>
        <family val="2"/>
        <scheme val="minor"/>
      </rPr>
      <t>n</t>
    </r>
    <r>
      <rPr>
        <sz val="10"/>
        <rFont val="Calibri"/>
        <family val="2"/>
        <scheme val="minor"/>
      </rPr>
      <t xml:space="preserve"> =</t>
    </r>
  </si>
  <si>
    <r>
      <t>Fh</t>
    </r>
    <r>
      <rPr>
        <vertAlign val="subscript"/>
        <sz val="10"/>
        <rFont val="Calibri"/>
        <family val="2"/>
        <scheme val="minor"/>
      </rPr>
      <t>mLH</t>
    </r>
  </si>
  <si>
    <r>
      <t>Fl</t>
    </r>
    <r>
      <rPr>
        <vertAlign val="subscript"/>
        <sz val="10"/>
        <rFont val="Calibri"/>
        <family val="2"/>
        <scheme val="minor"/>
      </rPr>
      <t>mRH</t>
    </r>
  </si>
  <si>
    <r>
      <t>Fv</t>
    </r>
    <r>
      <rPr>
        <vertAlign val="subscript"/>
        <sz val="10"/>
        <rFont val="Calibri"/>
        <family val="2"/>
        <scheme val="minor"/>
      </rPr>
      <t>mLH</t>
    </r>
  </si>
  <si>
    <r>
      <t>Fh</t>
    </r>
    <r>
      <rPr>
        <vertAlign val="subscript"/>
        <sz val="10"/>
        <rFont val="Calibri"/>
        <family val="2"/>
        <scheme val="minor"/>
      </rPr>
      <t>n</t>
    </r>
  </si>
  <si>
    <r>
      <t>Fl</t>
    </r>
    <r>
      <rPr>
        <vertAlign val="subscript"/>
        <sz val="10"/>
        <rFont val="Calibri"/>
        <family val="2"/>
        <scheme val="minor"/>
      </rPr>
      <t>n</t>
    </r>
  </si>
  <si>
    <r>
      <t>Fv</t>
    </r>
    <r>
      <rPr>
        <vertAlign val="subscript"/>
        <sz val="10"/>
        <rFont val="Calibri"/>
        <family val="2"/>
        <scheme val="minor"/>
      </rPr>
      <t>n</t>
    </r>
  </si>
  <si>
    <t>STANDARD SPREADSHEET METHOD</t>
  </si>
  <si>
    <t>SIMPLE LANDING GEAR LOADS</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</si>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</sst>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
    <numFmt numFmtId="167" formatCode="0.00000"/>
    <numFmt numFmtId="168" formatCode="&quot;+/-&quot;\ 0"/>
  </numFmts>
  <fonts count="26" x14ac:knownFonts="1">
    <font>
      <sz val="10"/>
      <name val="Arial"/>
    </font>
    <font>
      <sz val="11"/>
      <color theme="1"/>
      <name val="Calibri"/>
      <family val="2"/>
      <scheme val="minor"/>
    </font>
    <font>
      <sz val="10"/>
      <name val="Arial"/>
      <family val="2"/>
    </font>
    <font>
      <sz val="10"/>
      <color theme="1"/>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color theme="1"/>
      <name val="Calibri"/>
      <family val="2"/>
      <scheme val="minor"/>
    </font>
    <font>
      <sz val="10"/>
      <color rgb="FF0000FF"/>
      <name val="Calibri"/>
      <family val="2"/>
      <scheme val="minor"/>
    </font>
    <font>
      <b/>
      <sz val="10"/>
      <color theme="1"/>
      <name val="Calibri"/>
      <family val="2"/>
      <scheme val="minor"/>
    </font>
    <font>
      <vertAlign val="subscript"/>
      <sz val="10"/>
      <name val="Calibri"/>
      <family val="2"/>
      <scheme val="minor"/>
    </font>
    <font>
      <vertAlign val="superscript"/>
      <sz val="10"/>
      <color theme="1"/>
      <name val="Calibri"/>
      <family val="2"/>
      <scheme val="minor"/>
    </font>
    <font>
      <sz val="10"/>
      <color rgb="FFFF0000"/>
      <name val="Calibri"/>
      <family val="2"/>
      <scheme val="minor"/>
    </font>
    <font>
      <sz val="10"/>
      <color rgb="FF00CC00"/>
      <name val="Calibri"/>
      <family val="2"/>
      <scheme val="minor"/>
    </font>
    <font>
      <b/>
      <i/>
      <sz val="10"/>
      <name val="Calibri"/>
      <family val="2"/>
      <scheme val="minor"/>
    </font>
    <font>
      <i/>
      <sz val="10"/>
      <color theme="1"/>
      <name val="Calibri"/>
      <family val="2"/>
      <scheme val="minor"/>
    </font>
    <font>
      <vertAlign val="subscript"/>
      <sz val="10"/>
      <color theme="1"/>
      <name val="Calibri"/>
      <family val="2"/>
      <scheme val="minor"/>
    </font>
    <font>
      <b/>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8">
    <xf numFmtId="0" fontId="0" fillId="0" borderId="0"/>
    <xf numFmtId="0" fontId="2" fillId="0" borderId="0"/>
    <xf numFmtId="0" fontId="3" fillId="0" borderId="0"/>
    <xf numFmtId="0" fontId="1" fillId="0" borderId="0"/>
    <xf numFmtId="0" fontId="2" fillId="0" borderId="0"/>
    <xf numFmtId="0" fontId="2" fillId="0" borderId="0"/>
    <xf numFmtId="0" fontId="12" fillId="0" borderId="0" applyNumberFormat="0" applyFill="0" applyBorder="0" applyAlignment="0" applyProtection="0">
      <alignment vertical="top"/>
      <protection locked="0"/>
    </xf>
    <xf numFmtId="0" fontId="24" fillId="0" borderId="0" applyNumberFormat="0" applyFill="0" applyBorder="0" applyAlignment="0" applyProtection="0"/>
  </cellStyleXfs>
  <cellXfs count="223">
    <xf numFmtId="0" fontId="0" fillId="0" borderId="0" xfId="0"/>
    <xf numFmtId="0" fontId="4" fillId="0" borderId="0" xfId="4" applyFont="1" applyProtection="1">
      <protection locked="0"/>
    </xf>
    <xf numFmtId="0" fontId="4" fillId="0" borderId="0" xfId="4" applyFont="1" applyAlignment="1" applyProtection="1">
      <alignment horizontal="right"/>
      <protection locked="0"/>
    </xf>
    <xf numFmtId="0" fontId="5" fillId="0" borderId="0" xfId="4" applyFont="1" applyProtection="1">
      <protection locked="0"/>
    </xf>
    <xf numFmtId="0" fontId="5" fillId="0" borderId="0" xfId="4" applyFont="1" applyAlignment="1" applyProtection="1">
      <alignment horizontal="left"/>
      <protection locked="0"/>
    </xf>
    <xf numFmtId="0" fontId="4" fillId="0" borderId="0" xfId="4" applyFont="1"/>
    <xf numFmtId="0" fontId="4" fillId="0" borderId="2" xfId="4" applyFont="1" applyBorder="1" applyAlignment="1">
      <alignment horizontal="center"/>
    </xf>
    <xf numFmtId="0" fontId="4" fillId="0" borderId="0" xfId="4" applyFont="1" applyAlignment="1">
      <alignment horizontal="right"/>
    </xf>
    <xf numFmtId="0" fontId="6" fillId="0" borderId="0" xfId="4" applyFont="1" applyAlignment="1">
      <alignment horizontal="left"/>
    </xf>
    <xf numFmtId="0" fontId="4" fillId="0" borderId="1" xfId="4" applyFont="1" applyBorder="1" applyAlignment="1">
      <alignment horizontal="center"/>
    </xf>
    <xf numFmtId="14" fontId="5" fillId="0" borderId="0" xfId="4" quotePrefix="1" applyNumberFormat="1" applyFont="1" applyProtection="1">
      <protection locked="0"/>
    </xf>
    <xf numFmtId="0" fontId="4" fillId="0" borderId="1" xfId="5" applyFont="1" applyBorder="1" applyAlignment="1">
      <alignment horizontal="center"/>
    </xf>
    <xf numFmtId="1" fontId="4" fillId="0" borderId="1" xfId="5" applyNumberFormat="1" applyFont="1" applyBorder="1" applyAlignment="1">
      <alignment horizontal="center"/>
    </xf>
    <xf numFmtId="0" fontId="7" fillId="0" borderId="0" xfId="4" applyFont="1" applyAlignment="1" applyProtection="1">
      <alignment horizontal="left"/>
      <protection locked="0"/>
    </xf>
    <xf numFmtId="0" fontId="4" fillId="0" borderId="0" xfId="5" applyFont="1"/>
    <xf numFmtId="0" fontId="6" fillId="0" borderId="0" xfId="4" applyFont="1"/>
    <xf numFmtId="0" fontId="6" fillId="0" borderId="0" xfId="4" quotePrefix="1" applyFont="1" applyAlignment="1">
      <alignment vertical="center"/>
    </xf>
    <xf numFmtId="0" fontId="6" fillId="0" borderId="0" xfId="4" applyFont="1" applyAlignment="1">
      <alignment vertical="center"/>
    </xf>
    <xf numFmtId="0" fontId="4" fillId="0" borderId="0" xfId="4" applyFont="1" applyAlignment="1">
      <alignment horizontal="center"/>
    </xf>
    <xf numFmtId="0" fontId="6" fillId="0" borderId="0" xfId="4" applyFont="1" applyAlignment="1">
      <alignment horizontal="right"/>
    </xf>
    <xf numFmtId="0" fontId="8" fillId="0" borderId="0" xfId="4" applyFont="1"/>
    <xf numFmtId="0" fontId="9" fillId="0" borderId="0" xfId="4" applyFont="1"/>
    <xf numFmtId="0" fontId="10" fillId="0" borderId="0" xfId="4" applyFont="1"/>
    <xf numFmtId="0" fontId="4" fillId="0" borderId="0" xfId="4" applyFont="1" applyBorder="1" applyAlignment="1"/>
    <xf numFmtId="0" fontId="10" fillId="0" borderId="0" xfId="4" applyFont="1" applyBorder="1" applyAlignment="1"/>
    <xf numFmtId="0" fontId="4" fillId="0" borderId="0" xfId="1" applyFont="1" applyAlignment="1">
      <alignment horizontal="right"/>
    </xf>
    <xf numFmtId="0" fontId="6" fillId="0" borderId="0" xfId="1" applyFont="1"/>
    <xf numFmtId="0" fontId="4" fillId="0" borderId="0" xfId="1" applyFont="1"/>
    <xf numFmtId="0" fontId="4" fillId="0" borderId="7" xfId="1" applyFont="1" applyBorder="1" applyAlignment="1">
      <alignment horizontal="center"/>
    </xf>
    <xf numFmtId="0" fontId="4" fillId="0" borderId="3" xfId="1" applyFont="1" applyBorder="1" applyAlignment="1">
      <alignment horizontal="center"/>
    </xf>
    <xf numFmtId="0" fontId="4" fillId="0" borderId="0" xfId="1" applyFont="1" applyBorder="1"/>
    <xf numFmtId="0" fontId="4" fillId="0" borderId="1" xfId="1" applyFont="1" applyBorder="1" applyAlignment="1">
      <alignment horizontal="center"/>
    </xf>
    <xf numFmtId="0" fontId="4" fillId="0" borderId="10" xfId="1" applyFont="1" applyBorder="1" applyAlignment="1">
      <alignment horizontal="center"/>
    </xf>
    <xf numFmtId="0" fontId="4" fillId="0" borderId="4" xfId="1" applyFont="1" applyBorder="1" applyAlignment="1">
      <alignment horizontal="center"/>
    </xf>
    <xf numFmtId="0" fontId="4" fillId="0" borderId="1" xfId="1" applyFont="1" applyBorder="1"/>
    <xf numFmtId="0" fontId="4" fillId="0" borderId="0" xfId="0" applyFont="1"/>
    <xf numFmtId="0" fontId="6" fillId="0" borderId="0" xfId="1" applyFont="1" applyAlignment="1">
      <alignment horizontal="right"/>
    </xf>
    <xf numFmtId="0" fontId="6" fillId="0" borderId="0" xfId="1" applyFont="1" applyBorder="1" applyAlignment="1">
      <alignment horizontal="right"/>
    </xf>
    <xf numFmtId="0" fontId="13" fillId="0" borderId="0" xfId="2" applyFont="1" applyBorder="1" applyAlignment="1">
      <alignment horizontal="left"/>
    </xf>
    <xf numFmtId="167" fontId="13" fillId="0" borderId="0" xfId="2" applyNumberFormat="1" applyFont="1" applyBorder="1"/>
    <xf numFmtId="0" fontId="4" fillId="0" borderId="0" xfId="2" applyFont="1" applyBorder="1" applyAlignment="1">
      <alignment vertical="top"/>
    </xf>
    <xf numFmtId="0" fontId="13" fillId="0" borderId="0" xfId="2" applyFont="1" applyBorder="1"/>
    <xf numFmtId="0" fontId="4" fillId="0" borderId="0" xfId="1" quotePrefix="1" applyFont="1" applyBorder="1"/>
    <xf numFmtId="0" fontId="13" fillId="0" borderId="0" xfId="2" applyFont="1" applyBorder="1" applyAlignment="1">
      <alignment horizontal="right"/>
    </xf>
    <xf numFmtId="0" fontId="4" fillId="0" borderId="4" xfId="1" applyFont="1" applyBorder="1"/>
    <xf numFmtId="0" fontId="4" fillId="0" borderId="0" xfId="1" applyFont="1" applyBorder="1" applyAlignment="1">
      <alignment horizontal="right"/>
    </xf>
    <xf numFmtId="0" fontId="14" fillId="0" borderId="0" xfId="1" applyFont="1" applyBorder="1"/>
    <xf numFmtId="0" fontId="4" fillId="0" borderId="0" xfId="1" applyFont="1" applyBorder="1" applyAlignment="1">
      <alignment horizontal="left"/>
    </xf>
    <xf numFmtId="0" fontId="4" fillId="0" borderId="0" xfId="1" applyFont="1" applyBorder="1" applyAlignment="1">
      <alignment horizontal="left" indent="2"/>
    </xf>
    <xf numFmtId="0" fontId="6" fillId="0" borderId="0" xfId="1" applyFont="1" applyBorder="1"/>
    <xf numFmtId="2" fontId="4" fillId="0" borderId="0" xfId="1" applyNumberFormat="1" applyFont="1"/>
    <xf numFmtId="0" fontId="13" fillId="0" borderId="0" xfId="1" applyFont="1"/>
    <xf numFmtId="0" fontId="4" fillId="0" borderId="0" xfId="1" applyFont="1" applyAlignment="1">
      <alignment horizontal="left"/>
    </xf>
    <xf numFmtId="2" fontId="4" fillId="0" borderId="0" xfId="1" applyNumberFormat="1" applyFont="1" applyAlignment="1">
      <alignment horizontal="left"/>
    </xf>
    <xf numFmtId="0" fontId="4" fillId="0" borderId="0" xfId="1" quotePrefix="1" applyFont="1"/>
    <xf numFmtId="2" fontId="4" fillId="0" borderId="0" xfId="1" applyNumberFormat="1" applyFont="1" applyBorder="1" applyAlignment="1">
      <alignment horizontal="center"/>
    </xf>
    <xf numFmtId="0" fontId="4" fillId="0" borderId="0" xfId="1" applyFont="1" applyBorder="1" applyAlignment="1">
      <alignment horizontal="center"/>
    </xf>
    <xf numFmtId="0" fontId="4" fillId="0" borderId="0" xfId="2" applyFont="1" applyBorder="1" applyAlignment="1">
      <alignment horizontal="left"/>
    </xf>
    <xf numFmtId="0" fontId="4" fillId="0" borderId="0" xfId="2" applyFont="1" applyBorder="1"/>
    <xf numFmtId="165" fontId="13" fillId="0" borderId="0" xfId="2" applyNumberFormat="1" applyFont="1" applyBorder="1"/>
    <xf numFmtId="2" fontId="13" fillId="0" borderId="0" xfId="1" applyNumberFormat="1" applyFont="1" applyBorder="1"/>
    <xf numFmtId="165" fontId="13" fillId="0" borderId="0" xfId="1" applyNumberFormat="1" applyFont="1" applyBorder="1"/>
    <xf numFmtId="165" fontId="15" fillId="0" borderId="0" xfId="1" applyNumberFormat="1" applyFont="1" applyBorder="1"/>
    <xf numFmtId="2" fontId="4" fillId="0" borderId="0" xfId="1" applyNumberFormat="1" applyFont="1" applyBorder="1"/>
    <xf numFmtId="2" fontId="6" fillId="0" borderId="0" xfId="1" applyNumberFormat="1" applyFont="1" applyBorder="1"/>
    <xf numFmtId="0" fontId="4" fillId="0" borderId="0" xfId="2" applyFont="1"/>
    <xf numFmtId="0" fontId="13" fillId="0" borderId="0" xfId="2" applyFont="1"/>
    <xf numFmtId="0" fontId="4" fillId="0" borderId="0" xfId="2" applyFont="1" applyAlignment="1">
      <alignment horizontal="right"/>
    </xf>
    <xf numFmtId="2" fontId="13" fillId="0" borderId="0" xfId="2" applyNumberFormat="1" applyFont="1"/>
    <xf numFmtId="2" fontId="4" fillId="0" borderId="0" xfId="2" applyNumberFormat="1" applyFont="1"/>
    <xf numFmtId="2" fontId="14" fillId="0" borderId="0" xfId="1" applyNumberFormat="1" applyFont="1"/>
    <xf numFmtId="0" fontId="4" fillId="0" borderId="0" xfId="2" applyFont="1" applyAlignment="1">
      <alignment vertical="top"/>
    </xf>
    <xf numFmtId="0" fontId="13" fillId="0" borderId="0" xfId="2" applyFont="1" applyAlignment="1">
      <alignment horizontal="right"/>
    </xf>
    <xf numFmtId="1" fontId="13" fillId="0" borderId="0" xfId="2" applyNumberFormat="1" applyFont="1"/>
    <xf numFmtId="166" fontId="13" fillId="0" borderId="0" xfId="2" applyNumberFormat="1" applyFont="1"/>
    <xf numFmtId="2" fontId="14" fillId="0" borderId="0" xfId="2" applyNumberFormat="1" applyFont="1" applyAlignment="1">
      <alignment horizontal="left"/>
    </xf>
    <xf numFmtId="2" fontId="13" fillId="0" borderId="0" xfId="1" applyNumberFormat="1" applyFont="1"/>
    <xf numFmtId="2" fontId="14" fillId="0" borderId="0" xfId="2" applyNumberFormat="1" applyFont="1" applyAlignment="1">
      <alignment horizontal="right"/>
    </xf>
    <xf numFmtId="2" fontId="13" fillId="0" borderId="0" xfId="2" applyNumberFormat="1" applyFont="1" applyAlignment="1">
      <alignment horizontal="right"/>
    </xf>
    <xf numFmtId="1" fontId="13" fillId="0" borderId="0" xfId="2" applyNumberFormat="1" applyFont="1" applyBorder="1"/>
    <xf numFmtId="1" fontId="14" fillId="0" borderId="0" xfId="1" applyNumberFormat="1" applyFont="1"/>
    <xf numFmtId="1" fontId="13" fillId="0" borderId="0" xfId="1" applyNumberFormat="1" applyFont="1"/>
    <xf numFmtId="1" fontId="4" fillId="0" borderId="0" xfId="1" applyNumberFormat="1" applyFont="1"/>
    <xf numFmtId="2" fontId="13" fillId="0" borderId="0" xfId="2" applyNumberFormat="1" applyFont="1" applyBorder="1"/>
    <xf numFmtId="165" fontId="4" fillId="0" borderId="0" xfId="1" applyNumberFormat="1" applyFont="1" applyAlignment="1">
      <alignment horizontal="right"/>
    </xf>
    <xf numFmtId="165" fontId="4" fillId="0" borderId="0" xfId="2" applyNumberFormat="1" applyFont="1"/>
    <xf numFmtId="165" fontId="4" fillId="0" borderId="0" xfId="1" applyNumberFormat="1" applyFont="1"/>
    <xf numFmtId="165" fontId="13" fillId="0" borderId="0" xfId="2" applyNumberFormat="1" applyFont="1"/>
    <xf numFmtId="1" fontId="4" fillId="0" borderId="0" xfId="1" applyNumberFormat="1" applyFont="1" applyBorder="1"/>
    <xf numFmtId="165" fontId="4" fillId="0" borderId="0" xfId="2" applyNumberFormat="1" applyFont="1" applyAlignment="1">
      <alignment horizontal="right"/>
    </xf>
    <xf numFmtId="165" fontId="13" fillId="0" borderId="0" xfId="2" applyNumberFormat="1" applyFont="1" applyAlignment="1">
      <alignment horizontal="right"/>
    </xf>
    <xf numFmtId="165" fontId="4" fillId="0" borderId="0" xfId="2" applyNumberFormat="1" applyFont="1" applyAlignment="1">
      <alignment horizontal="left"/>
    </xf>
    <xf numFmtId="165" fontId="4" fillId="0" borderId="0" xfId="1" applyNumberFormat="1" applyFont="1" applyBorder="1"/>
    <xf numFmtId="165" fontId="15" fillId="0" borderId="0" xfId="2" applyNumberFormat="1" applyFont="1" applyBorder="1" applyAlignment="1">
      <alignment horizontal="right"/>
    </xf>
    <xf numFmtId="1" fontId="13" fillId="0" borderId="0" xfId="1" applyNumberFormat="1" applyFont="1" applyBorder="1"/>
    <xf numFmtId="0" fontId="13" fillId="0" borderId="0" xfId="1" applyFont="1" applyBorder="1"/>
    <xf numFmtId="2" fontId="6" fillId="0" borderId="0" xfId="1" applyNumberFormat="1" applyFont="1"/>
    <xf numFmtId="166" fontId="13" fillId="0" borderId="0" xfId="2" applyNumberFormat="1" applyFont="1" applyBorder="1"/>
    <xf numFmtId="1" fontId="4" fillId="0" borderId="0" xfId="2" applyNumberFormat="1" applyFont="1"/>
    <xf numFmtId="1" fontId="18" fillId="0" borderId="0" xfId="1" applyNumberFormat="1" applyFont="1" applyBorder="1"/>
    <xf numFmtId="1" fontId="19" fillId="0" borderId="0" xfId="1" applyNumberFormat="1" applyFont="1" applyBorder="1"/>
    <xf numFmtId="165" fontId="13" fillId="0" borderId="0" xfId="2" applyNumberFormat="1" applyFont="1" applyAlignment="1">
      <alignment horizontal="left"/>
    </xf>
    <xf numFmtId="0" fontId="20" fillId="0" borderId="0" xfId="1" applyFont="1" applyBorder="1" applyAlignment="1">
      <alignment horizontal="left" indent="5"/>
    </xf>
    <xf numFmtId="0" fontId="6" fillId="0" borderId="0" xfId="1" applyFont="1" applyBorder="1" applyAlignment="1">
      <alignment horizontal="center"/>
    </xf>
    <xf numFmtId="0" fontId="18" fillId="0" borderId="0" xfId="1" applyFont="1" applyBorder="1"/>
    <xf numFmtId="0" fontId="19" fillId="0" borderId="0" xfId="1" applyFont="1" applyBorder="1"/>
    <xf numFmtId="164" fontId="13" fillId="0" borderId="0" xfId="2" applyNumberFormat="1" applyFont="1" applyBorder="1"/>
    <xf numFmtId="0" fontId="4" fillId="0" borderId="0" xfId="2" applyFont="1" applyBorder="1" applyAlignment="1">
      <alignment horizontal="right"/>
    </xf>
    <xf numFmtId="2" fontId="13" fillId="0" borderId="0" xfId="2" applyNumberFormat="1" applyFont="1" applyBorder="1" applyAlignment="1">
      <alignment horizontal="right"/>
    </xf>
    <xf numFmtId="0" fontId="13" fillId="0" borderId="0" xfId="2" applyFont="1" applyBorder="1" applyAlignment="1">
      <alignment horizontal="center"/>
    </xf>
    <xf numFmtId="0" fontId="7" fillId="0" borderId="0" xfId="2" applyFont="1" applyBorder="1" applyAlignment="1">
      <alignment horizontal="right"/>
    </xf>
    <xf numFmtId="165" fontId="13" fillId="0" borderId="0" xfId="2" applyNumberFormat="1" applyFont="1" applyBorder="1" applyAlignment="1">
      <alignment horizontal="center"/>
    </xf>
    <xf numFmtId="1" fontId="4" fillId="0" borderId="0" xfId="2" applyNumberFormat="1" applyFont="1" applyBorder="1" applyAlignment="1">
      <alignment horizontal="center"/>
    </xf>
    <xf numFmtId="0" fontId="21" fillId="0" borderId="0" xfId="2" applyFont="1" applyBorder="1" applyAlignment="1">
      <alignment horizontal="center"/>
    </xf>
    <xf numFmtId="0" fontId="14" fillId="0" borderId="0" xfId="2" applyFont="1" applyBorder="1"/>
    <xf numFmtId="0" fontId="4" fillId="0" borderId="0" xfId="2" applyFont="1" applyBorder="1" applyAlignment="1">
      <alignment horizontal="center"/>
    </xf>
    <xf numFmtId="168" fontId="4" fillId="0" borderId="0" xfId="1" applyNumberFormat="1" applyFont="1" applyBorder="1"/>
    <xf numFmtId="168" fontId="13" fillId="0" borderId="0" xfId="2" applyNumberFormat="1" applyFont="1" applyBorder="1"/>
    <xf numFmtId="165" fontId="4" fillId="0" borderId="0" xfId="1" applyNumberFormat="1" applyFont="1" applyBorder="1" applyAlignment="1">
      <alignment horizontal="center"/>
    </xf>
    <xf numFmtId="0" fontId="4" fillId="0" borderId="0" xfId="2" applyFont="1" applyBorder="1" applyAlignment="1">
      <alignment horizontal="right" vertical="top"/>
    </xf>
    <xf numFmtId="2" fontId="13" fillId="0" borderId="0" xfId="2" applyNumberFormat="1" applyFont="1" applyBorder="1" applyAlignment="1">
      <alignment horizontal="center"/>
    </xf>
    <xf numFmtId="0" fontId="14" fillId="0" borderId="0" xfId="1" applyFont="1" applyFill="1" applyBorder="1"/>
    <xf numFmtId="0" fontId="4" fillId="0" borderId="0" xfId="1" applyFont="1" applyFill="1" applyBorder="1"/>
    <xf numFmtId="0" fontId="13" fillId="0" borderId="0" xfId="1" applyFont="1" applyAlignment="1">
      <alignment horizontal="right"/>
    </xf>
    <xf numFmtId="0" fontId="11" fillId="0" borderId="0" xfId="1" applyFont="1"/>
    <xf numFmtId="1" fontId="13" fillId="0" borderId="0" xfId="2" applyNumberFormat="1" applyFont="1" applyBorder="1" applyAlignment="1">
      <alignment horizontal="center"/>
    </xf>
    <xf numFmtId="164" fontId="4" fillId="0" borderId="0" xfId="1" applyNumberFormat="1" applyFont="1" applyFill="1" applyBorder="1" applyAlignment="1">
      <alignment horizontal="center"/>
    </xf>
    <xf numFmtId="1" fontId="4" fillId="0" borderId="0" xfId="1" applyNumberFormat="1" applyFont="1" applyBorder="1" applyAlignment="1">
      <alignment horizontal="center"/>
    </xf>
    <xf numFmtId="0" fontId="14" fillId="0" borderId="0" xfId="1" applyFont="1" applyFill="1" applyBorder="1" applyAlignment="1">
      <alignment horizontal="center"/>
    </xf>
    <xf numFmtId="166" fontId="4" fillId="0" borderId="0" xfId="1" applyNumberFormat="1" applyFont="1" applyFill="1" applyBorder="1" applyAlignment="1">
      <alignment horizontal="center"/>
    </xf>
    <xf numFmtId="0" fontId="4" fillId="0" borderId="0" xfId="1" applyFont="1" applyBorder="1" applyAlignment="1">
      <alignment horizontal="right" vertical="center"/>
    </xf>
    <xf numFmtId="0" fontId="14" fillId="0" borderId="0" xfId="1" applyFont="1"/>
    <xf numFmtId="2" fontId="13" fillId="0" borderId="0" xfId="2" applyNumberFormat="1" applyFont="1" applyAlignment="1">
      <alignment horizontal="left"/>
    </xf>
    <xf numFmtId="2" fontId="14" fillId="0" borderId="0" xfId="1" applyNumberFormat="1" applyFont="1" applyBorder="1"/>
    <xf numFmtId="164" fontId="13" fillId="0" borderId="0" xfId="2" applyNumberFormat="1" applyFont="1"/>
    <xf numFmtId="164" fontId="4" fillId="0" borderId="0" xfId="1" applyNumberFormat="1" applyFont="1" applyBorder="1" applyAlignment="1">
      <alignment horizontal="center"/>
    </xf>
    <xf numFmtId="164" fontId="13" fillId="0" borderId="0" xfId="2" applyNumberFormat="1" applyFont="1" applyBorder="1" applyAlignment="1">
      <alignment horizontal="center"/>
    </xf>
    <xf numFmtId="168" fontId="4" fillId="0" borderId="0" xfId="1" applyNumberFormat="1" applyFont="1"/>
    <xf numFmtId="2" fontId="4" fillId="0" borderId="0" xfId="1" applyNumberFormat="1" applyFont="1" applyBorder="1" applyAlignment="1">
      <alignment horizontal="left"/>
    </xf>
    <xf numFmtId="0" fontId="4" fillId="0" borderId="3" xfId="1" applyFont="1" applyBorder="1"/>
    <xf numFmtId="0" fontId="4" fillId="0" borderId="6" xfId="1" applyFont="1" applyBorder="1"/>
    <xf numFmtId="0" fontId="4" fillId="0" borderId="7" xfId="1" applyFont="1" applyBorder="1"/>
    <xf numFmtId="0" fontId="4" fillId="0" borderId="6" xfId="1" applyFont="1" applyBorder="1" applyAlignment="1">
      <alignment horizontal="center"/>
    </xf>
    <xf numFmtId="0" fontId="13" fillId="0" borderId="4" xfId="2" applyFont="1" applyBorder="1" applyAlignment="1">
      <alignment horizontal="center"/>
    </xf>
    <xf numFmtId="0" fontId="13" fillId="0" borderId="10" xfId="2" applyFont="1" applyBorder="1" applyAlignment="1">
      <alignment horizontal="center"/>
    </xf>
    <xf numFmtId="0" fontId="4" fillId="0" borderId="6" xfId="1" applyFont="1" applyBorder="1" applyAlignment="1">
      <alignment horizontal="left"/>
    </xf>
    <xf numFmtId="168" fontId="13" fillId="0" borderId="3" xfId="1" applyNumberFormat="1" applyFont="1" applyBorder="1" applyAlignment="1">
      <alignment horizontal="center"/>
    </xf>
    <xf numFmtId="0" fontId="13" fillId="0" borderId="6" xfId="1" applyFont="1" applyBorder="1" applyAlignment="1">
      <alignment horizontal="center"/>
    </xf>
    <xf numFmtId="1" fontId="13" fillId="0" borderId="7" xfId="1" applyNumberFormat="1" applyFont="1" applyBorder="1" applyAlignment="1">
      <alignment horizontal="center"/>
    </xf>
    <xf numFmtId="1" fontId="13" fillId="0" borderId="6" xfId="1" applyNumberFormat="1" applyFont="1" applyBorder="1" applyAlignment="1">
      <alignment horizontal="center"/>
    </xf>
    <xf numFmtId="168" fontId="13" fillId="0" borderId="4" xfId="1" applyNumberFormat="1" applyFont="1" applyBorder="1" applyAlignment="1">
      <alignment horizontal="center"/>
    </xf>
    <xf numFmtId="0" fontId="13" fillId="0" borderId="0" xfId="1" applyFont="1" applyBorder="1" applyAlignment="1">
      <alignment horizontal="center"/>
    </xf>
    <xf numFmtId="1" fontId="13" fillId="0" borderId="10" xfId="1" applyNumberFormat="1" applyFont="1" applyBorder="1" applyAlignment="1">
      <alignment horizontal="center"/>
    </xf>
    <xf numFmtId="168" fontId="13" fillId="0" borderId="4" xfId="1" quotePrefix="1" applyNumberFormat="1" applyFont="1" applyBorder="1" applyAlignment="1">
      <alignment horizontal="center"/>
    </xf>
    <xf numFmtId="1" fontId="13" fillId="0" borderId="0" xfId="1" applyNumberFormat="1" applyFont="1" applyBorder="1" applyAlignment="1">
      <alignment horizontal="center"/>
    </xf>
    <xf numFmtId="0" fontId="4" fillId="0" borderId="8" xfId="1" applyFont="1" applyBorder="1" applyAlignment="1">
      <alignment horizontal="center"/>
    </xf>
    <xf numFmtId="0" fontId="4" fillId="0" borderId="5" xfId="1" applyFont="1" applyBorder="1" applyAlignment="1">
      <alignment horizontal="left"/>
    </xf>
    <xf numFmtId="168" fontId="13" fillId="0" borderId="8" xfId="1" applyNumberFormat="1" applyFont="1" applyBorder="1" applyAlignment="1">
      <alignment horizontal="center"/>
    </xf>
    <xf numFmtId="0" fontId="13" fillId="0" borderId="5" xfId="1" applyFont="1" applyBorder="1" applyAlignment="1">
      <alignment horizontal="center"/>
    </xf>
    <xf numFmtId="1" fontId="13" fillId="0" borderId="9" xfId="1" applyNumberFormat="1" applyFont="1" applyBorder="1" applyAlignment="1">
      <alignment horizontal="center"/>
    </xf>
    <xf numFmtId="168" fontId="13" fillId="0" borderId="8" xfId="1" quotePrefix="1" applyNumberFormat="1" applyFont="1" applyBorder="1" applyAlignment="1">
      <alignment horizontal="center"/>
    </xf>
    <xf numFmtId="1" fontId="13" fillId="0" borderId="5" xfId="1" applyNumberFormat="1" applyFont="1" applyBorder="1" applyAlignment="1">
      <alignment horizontal="center"/>
    </xf>
    <xf numFmtId="168" fontId="13" fillId="0" borderId="3" xfId="1" quotePrefix="1" applyNumberFormat="1" applyFont="1" applyBorder="1" applyAlignment="1">
      <alignment horizontal="center"/>
    </xf>
    <xf numFmtId="0" fontId="13" fillId="0" borderId="3" xfId="1" applyFont="1" applyBorder="1" applyAlignment="1">
      <alignment horizontal="center"/>
    </xf>
    <xf numFmtId="0" fontId="13" fillId="0" borderId="7" xfId="1" applyFont="1" applyBorder="1" applyAlignment="1">
      <alignment horizontal="center"/>
    </xf>
    <xf numFmtId="0" fontId="13" fillId="0" borderId="4" xfId="1" applyFont="1" applyBorder="1" applyAlignment="1">
      <alignment horizontal="center"/>
    </xf>
    <xf numFmtId="0" fontId="13" fillId="0" borderId="10" xfId="1" applyFont="1" applyBorder="1" applyAlignment="1">
      <alignment horizontal="center"/>
    </xf>
    <xf numFmtId="0" fontId="13" fillId="0" borderId="8" xfId="1" applyFont="1" applyBorder="1" applyAlignment="1">
      <alignment horizontal="center"/>
    </xf>
    <xf numFmtId="0" fontId="13" fillId="0" borderId="9" xfId="1" applyFont="1" applyBorder="1" applyAlignment="1">
      <alignment horizontal="center"/>
    </xf>
    <xf numFmtId="0" fontId="13" fillId="0" borderId="4" xfId="1" quotePrefix="1" applyFont="1" applyBorder="1" applyAlignment="1">
      <alignment horizontal="center"/>
    </xf>
    <xf numFmtId="1" fontId="13" fillId="0" borderId="3" xfId="1" applyNumberFormat="1" applyFont="1" applyBorder="1" applyAlignment="1">
      <alignment horizontal="center"/>
    </xf>
    <xf numFmtId="0" fontId="13" fillId="0" borderId="3" xfId="1" applyFont="1" applyBorder="1" applyAlignment="1">
      <alignment horizontal="left"/>
    </xf>
    <xf numFmtId="1" fontId="4" fillId="0" borderId="4" xfId="1" applyNumberFormat="1" applyFont="1" applyBorder="1" applyAlignment="1">
      <alignment horizontal="center"/>
    </xf>
    <xf numFmtId="1" fontId="4" fillId="0" borderId="10" xfId="1" applyNumberFormat="1" applyFont="1" applyBorder="1" applyAlignment="1">
      <alignment horizontal="center"/>
    </xf>
    <xf numFmtId="0" fontId="13" fillId="0" borderId="4" xfId="1" applyFont="1" applyBorder="1" applyAlignment="1">
      <alignment horizontal="left"/>
    </xf>
    <xf numFmtId="1" fontId="13" fillId="0" borderId="4" xfId="1" applyNumberFormat="1" applyFont="1" applyBorder="1" applyAlignment="1">
      <alignment horizontal="center"/>
    </xf>
    <xf numFmtId="1" fontId="13" fillId="0" borderId="8" xfId="1" applyNumberFormat="1" applyFont="1" applyBorder="1" applyAlignment="1">
      <alignment horizontal="center"/>
    </xf>
    <xf numFmtId="0" fontId="13" fillId="0" borderId="8" xfId="1" applyFont="1" applyBorder="1" applyAlignment="1">
      <alignment horizontal="left"/>
    </xf>
    <xf numFmtId="2" fontId="13" fillId="0" borderId="4" xfId="1" applyNumberFormat="1" applyFont="1" applyBorder="1" applyAlignment="1">
      <alignment horizontal="center"/>
    </xf>
    <xf numFmtId="2" fontId="13" fillId="0" borderId="0" xfId="1" applyNumberFormat="1" applyFont="1" applyBorder="1" applyAlignment="1">
      <alignment horizontal="center"/>
    </xf>
    <xf numFmtId="2" fontId="13" fillId="0" borderId="5" xfId="1" applyNumberFormat="1" applyFont="1" applyBorder="1" applyAlignment="1">
      <alignment horizontal="center"/>
    </xf>
    <xf numFmtId="2" fontId="13" fillId="0" borderId="6" xfId="1" applyNumberFormat="1" applyFont="1" applyBorder="1" applyAlignment="1">
      <alignment horizontal="center"/>
    </xf>
    <xf numFmtId="168" fontId="13" fillId="0" borderId="0" xfId="1" applyNumberFormat="1" applyFont="1" applyBorder="1" applyAlignment="1">
      <alignment horizontal="center"/>
    </xf>
    <xf numFmtId="168" fontId="13" fillId="0" borderId="5" xfId="1" applyNumberFormat="1" applyFont="1" applyBorder="1" applyAlignment="1">
      <alignment horizontal="center"/>
    </xf>
    <xf numFmtId="0" fontId="4" fillId="0" borderId="10" xfId="1" applyFont="1" applyBorder="1"/>
    <xf numFmtId="0" fontId="4" fillId="0" borderId="3" xfId="4" applyFont="1" applyBorder="1" applyAlignment="1">
      <alignment horizontal="center"/>
    </xf>
    <xf numFmtId="0" fontId="4" fillId="0" borderId="2" xfId="4" applyFont="1" applyBorder="1"/>
    <xf numFmtId="0" fontId="4" fillId="0" borderId="4" xfId="4" applyFont="1" applyBorder="1" applyAlignment="1">
      <alignment horizontal="center"/>
    </xf>
    <xf numFmtId="0" fontId="4" fillId="0" borderId="1" xfId="4" applyFont="1" applyBorder="1"/>
    <xf numFmtId="1" fontId="4" fillId="0" borderId="4" xfId="5" applyNumberFormat="1" applyFont="1" applyBorder="1" applyAlignment="1">
      <alignment horizontal="center"/>
    </xf>
    <xf numFmtId="0" fontId="4" fillId="0" borderId="0" xfId="0" applyFont="1" applyBorder="1" applyProtection="1">
      <protection locked="0"/>
    </xf>
    <xf numFmtId="0" fontId="4" fillId="0" borderId="0" xfId="0" applyFont="1" applyBorder="1"/>
    <xf numFmtId="0" fontId="4" fillId="0" borderId="1" xfId="0" applyFont="1" applyBorder="1"/>
    <xf numFmtId="0" fontId="4" fillId="0" borderId="0" xfId="0" applyFont="1" applyAlignment="1">
      <alignment horizontal="center"/>
    </xf>
    <xf numFmtId="0" fontId="12" fillId="0" borderId="0" xfId="6" applyFont="1" applyBorder="1" applyAlignment="1" applyProtection="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20" fillId="0" borderId="0" xfId="0" applyFont="1" applyAlignment="1">
      <alignment horizontal="center"/>
    </xf>
    <xf numFmtId="0" fontId="23" fillId="0" borderId="0" xfId="6" applyFont="1" applyBorder="1" applyAlignment="1" applyProtection="1">
      <alignment horizontal="center"/>
      <protection locked="0"/>
    </xf>
    <xf numFmtId="0" fontId="4" fillId="0" borderId="0" xfId="4" applyFont="1" applyBorder="1" applyAlignment="1">
      <alignment horizontal="center"/>
    </xf>
    <xf numFmtId="0" fontId="4" fillId="0" borderId="0" xfId="4" applyFont="1" applyBorder="1"/>
    <xf numFmtId="0" fontId="4" fillId="0" borderId="0" xfId="4" applyFont="1" applyBorder="1" applyAlignment="1">
      <alignment horizontal="right"/>
    </xf>
    <xf numFmtId="0" fontId="6" fillId="0" borderId="0" xfId="4" applyFont="1" applyBorder="1" applyAlignment="1">
      <alignment horizontal="left"/>
    </xf>
    <xf numFmtId="0" fontId="4" fillId="0" borderId="0" xfId="5" applyFont="1" applyBorder="1" applyAlignment="1">
      <alignment horizontal="center"/>
    </xf>
    <xf numFmtId="1" fontId="4" fillId="0" borderId="0" xfId="5" applyNumberFormat="1" applyFont="1" applyBorder="1" applyAlignment="1">
      <alignment horizontal="center"/>
    </xf>
    <xf numFmtId="0" fontId="8" fillId="0" borderId="0" xfId="4" applyFont="1" applyBorder="1" applyAlignment="1">
      <alignment horizontal="center"/>
    </xf>
    <xf numFmtId="0" fontId="8" fillId="0" borderId="0" xfId="4" applyFont="1" applyBorder="1"/>
    <xf numFmtId="165" fontId="4" fillId="0" borderId="0" xfId="5" applyNumberFormat="1" applyFont="1" applyBorder="1" applyAlignment="1">
      <alignment horizontal="center"/>
    </xf>
    <xf numFmtId="0" fontId="12" fillId="0" borderId="0" xfId="6" applyBorder="1" applyAlignment="1" applyProtection="1">
      <alignment horizontal="center"/>
    </xf>
    <xf numFmtId="0" fontId="4" fillId="0" borderId="0" xfId="4" applyFont="1" applyBorder="1" applyAlignment="1">
      <alignment horizontal="left" vertical="top" wrapText="1"/>
    </xf>
    <xf numFmtId="0" fontId="12" fillId="0" borderId="0" xfId="6" applyBorder="1" applyAlignment="1" applyProtection="1">
      <alignment horizontal="center"/>
    </xf>
    <xf numFmtId="0" fontId="4" fillId="0" borderId="0" xfId="4" applyFont="1" applyBorder="1" applyAlignment="1">
      <alignment horizontal="left" vertical="top" wrapText="1"/>
    </xf>
    <xf numFmtId="0" fontId="13" fillId="0" borderId="0" xfId="2" applyFont="1" applyBorder="1" applyAlignment="1">
      <alignment horizontal="left" vertical="top" wrapText="1"/>
    </xf>
    <xf numFmtId="0" fontId="4" fillId="0" borderId="0" xfId="1" applyFont="1" applyBorder="1" applyAlignment="1">
      <alignment horizontal="left" vertical="top" wrapText="1"/>
    </xf>
    <xf numFmtId="0" fontId="13" fillId="0" borderId="3" xfId="2" applyFont="1" applyBorder="1" applyAlignment="1">
      <alignment horizontal="center"/>
    </xf>
    <xf numFmtId="0" fontId="13" fillId="0" borderId="6" xfId="2" applyFont="1" applyBorder="1" applyAlignment="1">
      <alignment horizontal="center"/>
    </xf>
    <xf numFmtId="0" fontId="4" fillId="0" borderId="3" xfId="1" applyFont="1" applyBorder="1" applyAlignment="1">
      <alignment horizontal="center"/>
    </xf>
    <xf numFmtId="0" fontId="4" fillId="0" borderId="6" xfId="1" applyFont="1" applyBorder="1" applyAlignment="1">
      <alignment horizontal="center"/>
    </xf>
    <xf numFmtId="0" fontId="4" fillId="0" borderId="7" xfId="1" applyFont="1" applyBorder="1" applyAlignment="1">
      <alignment horizontal="center"/>
    </xf>
    <xf numFmtId="0" fontId="25" fillId="0" borderId="0" xfId="7" applyFont="1" applyBorder="1" applyAlignment="1" applyProtection="1">
      <alignment horizontal="center"/>
    </xf>
    <xf numFmtId="0" fontId="4" fillId="0" borderId="0" xfId="4" applyFont="1" applyBorder="1" applyAlignment="1">
      <alignment horizontal="left" wrapText="1"/>
    </xf>
    <xf numFmtId="0" fontId="24" fillId="0" borderId="0" xfId="7" applyBorder="1" applyAlignment="1">
      <alignment horizontal="center"/>
    </xf>
  </cellXfs>
  <cellStyles count="8">
    <cellStyle name="Hyperlink" xfId="7" builtinId="8"/>
    <cellStyle name="Hyperlink 2" xfId="6"/>
    <cellStyle name="Normal" xfId="0" builtinId="0"/>
    <cellStyle name="Normal 2" xfId="1"/>
    <cellStyle name="Normal 2 2" xfId="4"/>
    <cellStyle name="Normal 3" xfId="2"/>
    <cellStyle name="Normal 3 2" xfId="3"/>
    <cellStyle name="Normal 4" xf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561975</xdr:colOff>
      <xdr:row>197</xdr:row>
      <xdr:rowOff>42862</xdr:rowOff>
    </xdr:from>
    <xdr:to>
      <xdr:col>2</xdr:col>
      <xdr:colOff>190500</xdr:colOff>
      <xdr:row>198</xdr:row>
      <xdr:rowOff>109537</xdr:rowOff>
    </xdr:to>
    <xdr:sp macro="" textlink="">
      <xdr:nvSpPr>
        <xdr:cNvPr id="77" name="Oval 76"/>
        <xdr:cNvSpPr/>
      </xdr:nvSpPr>
      <xdr:spPr>
        <a:xfrm>
          <a:off x="1162050" y="41990962"/>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196</xdr:row>
      <xdr:rowOff>142875</xdr:rowOff>
    </xdr:from>
    <xdr:to>
      <xdr:col>5</xdr:col>
      <xdr:colOff>219075</xdr:colOff>
      <xdr:row>199</xdr:row>
      <xdr:rowOff>142875</xdr:rowOff>
    </xdr:to>
    <xdr:grpSp>
      <xdr:nvGrpSpPr>
        <xdr:cNvPr id="78" name="Group 77"/>
        <xdr:cNvGrpSpPr/>
      </xdr:nvGrpSpPr>
      <xdr:grpSpPr>
        <a:xfrm>
          <a:off x="2811780" y="34531935"/>
          <a:ext cx="493395" cy="525780"/>
          <a:chOff x="2743200" y="22860000"/>
          <a:chExt cx="476250" cy="485775"/>
        </a:xfrm>
      </xdr:grpSpPr>
      <xdr:sp macro="" textlink="">
        <xdr:nvSpPr>
          <xdr:cNvPr id="79" name="Oval 78"/>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80" name="Straight Connector 79"/>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1" name="Straight Connector 80"/>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196</xdr:row>
      <xdr:rowOff>76200</xdr:rowOff>
    </xdr:from>
    <xdr:to>
      <xdr:col>2</xdr:col>
      <xdr:colOff>76200</xdr:colOff>
      <xdr:row>199</xdr:row>
      <xdr:rowOff>76200</xdr:rowOff>
    </xdr:to>
    <xdr:cxnSp macro="">
      <xdr:nvCxnSpPr>
        <xdr:cNvPr id="82" name="Straight Connector 81"/>
        <xdr:cNvCxnSpPr/>
      </xdr:nvCxnSpPr>
      <xdr:spPr>
        <a:xfrm>
          <a:off x="1276350" y="41862375"/>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197</xdr:row>
      <xdr:rowOff>157162</xdr:rowOff>
    </xdr:from>
    <xdr:to>
      <xdr:col>2</xdr:col>
      <xdr:colOff>314325</xdr:colOff>
      <xdr:row>197</xdr:row>
      <xdr:rowOff>157162</xdr:rowOff>
    </xdr:to>
    <xdr:cxnSp macro="">
      <xdr:nvCxnSpPr>
        <xdr:cNvPr id="83" name="Straight Connector 82"/>
        <xdr:cNvCxnSpPr/>
      </xdr:nvCxnSpPr>
      <xdr:spPr>
        <a:xfrm>
          <a:off x="1038225" y="42105262"/>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190</xdr:row>
      <xdr:rowOff>104775</xdr:rowOff>
    </xdr:from>
    <xdr:to>
      <xdr:col>0</xdr:col>
      <xdr:colOff>276225</xdr:colOff>
      <xdr:row>205</xdr:row>
      <xdr:rowOff>19050</xdr:rowOff>
    </xdr:to>
    <xdr:cxnSp macro="">
      <xdr:nvCxnSpPr>
        <xdr:cNvPr id="84" name="Straight Connector 83"/>
        <xdr:cNvCxnSpPr/>
      </xdr:nvCxnSpPr>
      <xdr:spPr>
        <a:xfrm>
          <a:off x="276225" y="40919400"/>
          <a:ext cx="0" cy="2381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199</xdr:row>
      <xdr:rowOff>114300</xdr:rowOff>
    </xdr:from>
    <xdr:to>
      <xdr:col>2</xdr:col>
      <xdr:colOff>76200</xdr:colOff>
      <xdr:row>203</xdr:row>
      <xdr:rowOff>95250</xdr:rowOff>
    </xdr:to>
    <xdr:cxnSp macro="">
      <xdr:nvCxnSpPr>
        <xdr:cNvPr id="85" name="Straight Connector 84"/>
        <xdr:cNvCxnSpPr/>
      </xdr:nvCxnSpPr>
      <xdr:spPr>
        <a:xfrm>
          <a:off x="1276350" y="42386250"/>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200</xdr:row>
      <xdr:rowOff>38100</xdr:rowOff>
    </xdr:from>
    <xdr:to>
      <xdr:col>4</xdr:col>
      <xdr:colOff>581025</xdr:colOff>
      <xdr:row>205</xdr:row>
      <xdr:rowOff>152400</xdr:rowOff>
    </xdr:to>
    <xdr:cxnSp macro="">
      <xdr:nvCxnSpPr>
        <xdr:cNvPr id="86" name="Straight Connector 85"/>
        <xdr:cNvCxnSpPr/>
      </xdr:nvCxnSpPr>
      <xdr:spPr>
        <a:xfrm>
          <a:off x="2981325" y="42471975"/>
          <a:ext cx="0" cy="962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202</xdr:row>
      <xdr:rowOff>160564</xdr:rowOff>
    </xdr:from>
    <xdr:to>
      <xdr:col>2</xdr:col>
      <xdr:colOff>76200</xdr:colOff>
      <xdr:row>202</xdr:row>
      <xdr:rowOff>160564</xdr:rowOff>
    </xdr:to>
    <xdr:cxnSp macro="">
      <xdr:nvCxnSpPr>
        <xdr:cNvPr id="87" name="Straight Arrow Connector 86"/>
        <xdr:cNvCxnSpPr/>
      </xdr:nvCxnSpPr>
      <xdr:spPr>
        <a:xfrm>
          <a:off x="276225" y="42982243"/>
          <a:ext cx="99740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204</xdr:row>
      <xdr:rowOff>145597</xdr:rowOff>
    </xdr:from>
    <xdr:to>
      <xdr:col>4</xdr:col>
      <xdr:colOff>581025</xdr:colOff>
      <xdr:row>204</xdr:row>
      <xdr:rowOff>145597</xdr:rowOff>
    </xdr:to>
    <xdr:cxnSp macro="">
      <xdr:nvCxnSpPr>
        <xdr:cNvPr id="88" name="Straight Arrow Connector 87"/>
        <xdr:cNvCxnSpPr/>
      </xdr:nvCxnSpPr>
      <xdr:spPr>
        <a:xfrm>
          <a:off x="276225" y="43307454"/>
          <a:ext cx="269965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193</xdr:row>
      <xdr:rowOff>138493</xdr:rowOff>
    </xdr:from>
    <xdr:to>
      <xdr:col>4</xdr:col>
      <xdr:colOff>333375</xdr:colOff>
      <xdr:row>195</xdr:row>
      <xdr:rowOff>38100</xdr:rowOff>
    </xdr:to>
    <xdr:grpSp>
      <xdr:nvGrpSpPr>
        <xdr:cNvPr id="89" name="Group 88"/>
        <xdr:cNvGrpSpPr/>
      </xdr:nvGrpSpPr>
      <xdr:grpSpPr>
        <a:xfrm>
          <a:off x="2583180" y="34001773"/>
          <a:ext cx="219075" cy="250127"/>
          <a:chOff x="2743200" y="22860000"/>
          <a:chExt cx="476250" cy="485775"/>
        </a:xfrm>
      </xdr:grpSpPr>
      <xdr:sp macro="" textlink="">
        <xdr:nvSpPr>
          <xdr:cNvPr id="90" name="Oval 89"/>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91" name="Straight Connector 90"/>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2" name="Straight Connector 91"/>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190</xdr:row>
      <xdr:rowOff>0</xdr:rowOff>
    </xdr:from>
    <xdr:to>
      <xdr:col>4</xdr:col>
      <xdr:colOff>228600</xdr:colOff>
      <xdr:row>193</xdr:row>
      <xdr:rowOff>76200</xdr:rowOff>
    </xdr:to>
    <xdr:cxnSp macro="">
      <xdr:nvCxnSpPr>
        <xdr:cNvPr id="93" name="Straight Connector 92"/>
        <xdr:cNvCxnSpPr/>
      </xdr:nvCxnSpPr>
      <xdr:spPr>
        <a:xfrm>
          <a:off x="2628900" y="4081462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191</xdr:row>
      <xdr:rowOff>0</xdr:rowOff>
    </xdr:from>
    <xdr:to>
      <xdr:col>4</xdr:col>
      <xdr:colOff>238125</xdr:colOff>
      <xdr:row>191</xdr:row>
      <xdr:rowOff>0</xdr:rowOff>
    </xdr:to>
    <xdr:cxnSp macro="">
      <xdr:nvCxnSpPr>
        <xdr:cNvPr id="94" name="Straight Arrow Connector 93"/>
        <xdr:cNvCxnSpPr/>
      </xdr:nvCxnSpPr>
      <xdr:spPr>
        <a:xfrm>
          <a:off x="285750" y="40976550"/>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535820</xdr:colOff>
      <xdr:row>189</xdr:row>
      <xdr:rowOff>98906</xdr:rowOff>
    </xdr:from>
    <xdr:to>
      <xdr:col>4</xdr:col>
      <xdr:colOff>485698</xdr:colOff>
      <xdr:row>200</xdr:row>
      <xdr:rowOff>10312</xdr:rowOff>
    </xdr:to>
    <xdr:cxnSp macro="">
      <xdr:nvCxnSpPr>
        <xdr:cNvPr id="95" name="Straight Connector 94"/>
        <xdr:cNvCxnSpPr/>
      </xdr:nvCxnSpPr>
      <xdr:spPr>
        <a:xfrm flipH="1">
          <a:off x="2336045" y="40751606"/>
          <a:ext cx="549953" cy="16925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191</xdr:row>
      <xdr:rowOff>123825</xdr:rowOff>
    </xdr:from>
    <xdr:to>
      <xdr:col>5</xdr:col>
      <xdr:colOff>85725</xdr:colOff>
      <xdr:row>197</xdr:row>
      <xdr:rowOff>66675</xdr:rowOff>
    </xdr:to>
    <xdr:sp macro="" textlink="">
      <xdr:nvSpPr>
        <xdr:cNvPr id="96" name="Arc 95"/>
        <xdr:cNvSpPr/>
      </xdr:nvSpPr>
      <xdr:spPr>
        <a:xfrm>
          <a:off x="2171700" y="41100375"/>
          <a:ext cx="914400" cy="914400"/>
        </a:xfrm>
        <a:prstGeom prst="arc">
          <a:avLst>
            <a:gd name="adj1" fmla="val 16200000"/>
            <a:gd name="adj2" fmla="val 1732948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4</xdr:col>
      <xdr:colOff>342977</xdr:colOff>
      <xdr:row>196</xdr:row>
      <xdr:rowOff>138949</xdr:rowOff>
    </xdr:from>
    <xdr:to>
      <xdr:col>5</xdr:col>
      <xdr:colOff>64856</xdr:colOff>
      <xdr:row>202</xdr:row>
      <xdr:rowOff>158269</xdr:rowOff>
    </xdr:to>
    <xdr:cxnSp macro="">
      <xdr:nvCxnSpPr>
        <xdr:cNvPr id="97" name="Straight Connector 96"/>
        <xdr:cNvCxnSpPr/>
      </xdr:nvCxnSpPr>
      <xdr:spPr>
        <a:xfrm flipH="1">
          <a:off x="2743277" y="41925124"/>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562052</xdr:colOff>
      <xdr:row>193</xdr:row>
      <xdr:rowOff>157999</xdr:rowOff>
    </xdr:from>
    <xdr:to>
      <xdr:col>2</xdr:col>
      <xdr:colOff>283931</xdr:colOff>
      <xdr:row>200</xdr:row>
      <xdr:rowOff>15394</xdr:rowOff>
    </xdr:to>
    <xdr:cxnSp macro="">
      <xdr:nvCxnSpPr>
        <xdr:cNvPr id="98" name="Straight Connector 97"/>
        <xdr:cNvCxnSpPr/>
      </xdr:nvCxnSpPr>
      <xdr:spPr>
        <a:xfrm flipH="1">
          <a:off x="1162127" y="41458399"/>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2608</xdr:colOff>
      <xdr:row>199</xdr:row>
      <xdr:rowOff>32046</xdr:rowOff>
    </xdr:from>
    <xdr:to>
      <xdr:col>4</xdr:col>
      <xdr:colOff>374783</xdr:colOff>
      <xdr:row>202</xdr:row>
      <xdr:rowOff>57150</xdr:rowOff>
    </xdr:to>
    <xdr:cxnSp macro="">
      <xdr:nvCxnSpPr>
        <xdr:cNvPr id="99" name="Straight Connector 98"/>
        <xdr:cNvCxnSpPr/>
      </xdr:nvCxnSpPr>
      <xdr:spPr>
        <a:xfrm flipH="1" flipV="1">
          <a:off x="1202758" y="42303996"/>
          <a:ext cx="1572325" cy="510879"/>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126433</xdr:colOff>
      <xdr:row>196</xdr:row>
      <xdr:rowOff>117771</xdr:rowOff>
    </xdr:from>
    <xdr:to>
      <xdr:col>4</xdr:col>
      <xdr:colOff>0</xdr:colOff>
      <xdr:row>198</xdr:row>
      <xdr:rowOff>142793</xdr:rowOff>
    </xdr:to>
    <xdr:cxnSp macro="">
      <xdr:nvCxnSpPr>
        <xdr:cNvPr id="100" name="Straight Connector 99"/>
        <xdr:cNvCxnSpPr/>
      </xdr:nvCxnSpPr>
      <xdr:spPr>
        <a:xfrm flipH="1" flipV="1">
          <a:off x="1326583" y="41903946"/>
          <a:ext cx="1073717" cy="348872"/>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593159</xdr:colOff>
      <xdr:row>198</xdr:row>
      <xdr:rowOff>146346</xdr:rowOff>
    </xdr:from>
    <xdr:to>
      <xdr:col>4</xdr:col>
      <xdr:colOff>514350</xdr:colOff>
      <xdr:row>199</xdr:row>
      <xdr:rowOff>153791</xdr:rowOff>
    </xdr:to>
    <xdr:cxnSp macro="">
      <xdr:nvCxnSpPr>
        <xdr:cNvPr id="101" name="Straight Connector 100"/>
        <xdr:cNvCxnSpPr/>
      </xdr:nvCxnSpPr>
      <xdr:spPr>
        <a:xfrm flipH="1" flipV="1">
          <a:off x="2393384" y="42256371"/>
          <a:ext cx="521266" cy="16937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19050</xdr:colOff>
      <xdr:row>196</xdr:row>
      <xdr:rowOff>114300</xdr:rowOff>
    </xdr:from>
    <xdr:ext cx="264688" cy="239809"/>
    <xdr:sp macro="" textlink="">
      <xdr:nvSpPr>
        <xdr:cNvPr id="102" name="TextBox 101"/>
        <xdr:cNvSpPr txBox="1"/>
      </xdr:nvSpPr>
      <xdr:spPr>
        <a:xfrm>
          <a:off x="1819275" y="41900475"/>
          <a:ext cx="26468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a'</a:t>
          </a:r>
        </a:p>
      </xdr:txBody>
    </xdr:sp>
    <xdr:clientData/>
  </xdr:oneCellAnchor>
  <xdr:oneCellAnchor>
    <xdr:from>
      <xdr:col>4</xdr:col>
      <xdr:colOff>152400</xdr:colOff>
      <xdr:row>198</xdr:row>
      <xdr:rowOff>19050</xdr:rowOff>
    </xdr:from>
    <xdr:ext cx="271869" cy="239809"/>
    <xdr:sp macro="" textlink="">
      <xdr:nvSpPr>
        <xdr:cNvPr id="103" name="TextBox 102"/>
        <xdr:cNvSpPr txBox="1"/>
      </xdr:nvSpPr>
      <xdr:spPr>
        <a:xfrm>
          <a:off x="2552700" y="42129075"/>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b'</a:t>
          </a:r>
        </a:p>
      </xdr:txBody>
    </xdr:sp>
    <xdr:clientData/>
  </xdr:oneCellAnchor>
  <xdr:oneCellAnchor>
    <xdr:from>
      <xdr:col>3</xdr:col>
      <xdr:colOff>123825</xdr:colOff>
      <xdr:row>199</xdr:row>
      <xdr:rowOff>76200</xdr:rowOff>
    </xdr:from>
    <xdr:ext cx="271869" cy="239809"/>
    <xdr:sp macro="" textlink="">
      <xdr:nvSpPr>
        <xdr:cNvPr id="104" name="TextBox 103"/>
        <xdr:cNvSpPr txBox="1"/>
      </xdr:nvSpPr>
      <xdr:spPr>
        <a:xfrm>
          <a:off x="1924050" y="42348150"/>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d'</a:t>
          </a:r>
        </a:p>
      </xdr:txBody>
    </xdr:sp>
    <xdr:clientData/>
  </xdr:oneCellAnchor>
  <xdr:twoCellAnchor>
    <xdr:from>
      <xdr:col>4</xdr:col>
      <xdr:colOff>371477</xdr:colOff>
      <xdr:row>194</xdr:row>
      <xdr:rowOff>76200</xdr:rowOff>
    </xdr:from>
    <xdr:to>
      <xdr:col>5</xdr:col>
      <xdr:colOff>390525</xdr:colOff>
      <xdr:row>194</xdr:row>
      <xdr:rowOff>76200</xdr:rowOff>
    </xdr:to>
    <xdr:cxnSp macro="">
      <xdr:nvCxnSpPr>
        <xdr:cNvPr id="105" name="Straight Connector 104"/>
        <xdr:cNvCxnSpPr/>
      </xdr:nvCxnSpPr>
      <xdr:spPr>
        <a:xfrm flipH="1">
          <a:off x="2771777" y="41538525"/>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247652</xdr:colOff>
      <xdr:row>198</xdr:row>
      <xdr:rowOff>47625</xdr:rowOff>
    </xdr:from>
    <xdr:to>
      <xdr:col>5</xdr:col>
      <xdr:colOff>447675</xdr:colOff>
      <xdr:row>198</xdr:row>
      <xdr:rowOff>47625</xdr:rowOff>
    </xdr:to>
    <xdr:cxnSp macro="">
      <xdr:nvCxnSpPr>
        <xdr:cNvPr id="106" name="Straight Connector 105"/>
        <xdr:cNvCxnSpPr/>
      </xdr:nvCxnSpPr>
      <xdr:spPr>
        <a:xfrm flipH="1">
          <a:off x="3248027" y="42157650"/>
          <a:ext cx="2000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194</xdr:row>
      <xdr:rowOff>76200</xdr:rowOff>
    </xdr:from>
    <xdr:to>
      <xdr:col>5</xdr:col>
      <xdr:colOff>247650</xdr:colOff>
      <xdr:row>198</xdr:row>
      <xdr:rowOff>57150</xdr:rowOff>
    </xdr:to>
    <xdr:cxnSp macro="">
      <xdr:nvCxnSpPr>
        <xdr:cNvPr id="107" name="Straight Arrow Connector 106"/>
        <xdr:cNvCxnSpPr/>
      </xdr:nvCxnSpPr>
      <xdr:spPr>
        <a:xfrm>
          <a:off x="3248025" y="41538525"/>
          <a:ext cx="0" cy="6286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561975</xdr:colOff>
      <xdr:row>221</xdr:row>
      <xdr:rowOff>42862</xdr:rowOff>
    </xdr:from>
    <xdr:to>
      <xdr:col>2</xdr:col>
      <xdr:colOff>190500</xdr:colOff>
      <xdr:row>222</xdr:row>
      <xdr:rowOff>109537</xdr:rowOff>
    </xdr:to>
    <xdr:sp macro="" textlink="">
      <xdr:nvSpPr>
        <xdr:cNvPr id="122" name="Oval 121"/>
        <xdr:cNvSpPr/>
      </xdr:nvSpPr>
      <xdr:spPr>
        <a:xfrm>
          <a:off x="1162050" y="4632483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220</xdr:row>
      <xdr:rowOff>142875</xdr:rowOff>
    </xdr:from>
    <xdr:to>
      <xdr:col>5</xdr:col>
      <xdr:colOff>219075</xdr:colOff>
      <xdr:row>223</xdr:row>
      <xdr:rowOff>142875</xdr:rowOff>
    </xdr:to>
    <xdr:grpSp>
      <xdr:nvGrpSpPr>
        <xdr:cNvPr id="123" name="Group 122"/>
        <xdr:cNvGrpSpPr/>
      </xdr:nvGrpSpPr>
      <xdr:grpSpPr>
        <a:xfrm>
          <a:off x="2811780" y="38753415"/>
          <a:ext cx="493395" cy="525780"/>
          <a:chOff x="2743200" y="22860000"/>
          <a:chExt cx="476250" cy="485775"/>
        </a:xfrm>
      </xdr:grpSpPr>
      <xdr:sp macro="" textlink="">
        <xdr:nvSpPr>
          <xdr:cNvPr id="124" name="Oval 123"/>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25" name="Straight Connector 124"/>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6" name="Straight Connector 125"/>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220</xdr:row>
      <xdr:rowOff>76200</xdr:rowOff>
    </xdr:from>
    <xdr:to>
      <xdr:col>2</xdr:col>
      <xdr:colOff>76200</xdr:colOff>
      <xdr:row>223</xdr:row>
      <xdr:rowOff>76200</xdr:rowOff>
    </xdr:to>
    <xdr:cxnSp macro="">
      <xdr:nvCxnSpPr>
        <xdr:cNvPr id="127" name="Straight Connector 126"/>
        <xdr:cNvCxnSpPr/>
      </xdr:nvCxnSpPr>
      <xdr:spPr>
        <a:xfrm>
          <a:off x="1276350" y="4619625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221</xdr:row>
      <xdr:rowOff>157162</xdr:rowOff>
    </xdr:from>
    <xdr:to>
      <xdr:col>2</xdr:col>
      <xdr:colOff>314325</xdr:colOff>
      <xdr:row>221</xdr:row>
      <xdr:rowOff>157162</xdr:rowOff>
    </xdr:to>
    <xdr:cxnSp macro="">
      <xdr:nvCxnSpPr>
        <xdr:cNvPr id="128" name="Straight Connector 127"/>
        <xdr:cNvCxnSpPr/>
      </xdr:nvCxnSpPr>
      <xdr:spPr>
        <a:xfrm>
          <a:off x="1038225" y="4643913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214</xdr:row>
      <xdr:rowOff>104775</xdr:rowOff>
    </xdr:from>
    <xdr:to>
      <xdr:col>0</xdr:col>
      <xdr:colOff>276225</xdr:colOff>
      <xdr:row>229</xdr:row>
      <xdr:rowOff>19050</xdr:rowOff>
    </xdr:to>
    <xdr:cxnSp macro="">
      <xdr:nvCxnSpPr>
        <xdr:cNvPr id="129" name="Straight Connector 128"/>
        <xdr:cNvCxnSpPr/>
      </xdr:nvCxnSpPr>
      <xdr:spPr>
        <a:xfrm>
          <a:off x="276225" y="45253275"/>
          <a:ext cx="0" cy="2381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223</xdr:row>
      <xdr:rowOff>114300</xdr:rowOff>
    </xdr:from>
    <xdr:to>
      <xdr:col>2</xdr:col>
      <xdr:colOff>76200</xdr:colOff>
      <xdr:row>227</xdr:row>
      <xdr:rowOff>95250</xdr:rowOff>
    </xdr:to>
    <xdr:cxnSp macro="">
      <xdr:nvCxnSpPr>
        <xdr:cNvPr id="130" name="Straight Connector 129"/>
        <xdr:cNvCxnSpPr/>
      </xdr:nvCxnSpPr>
      <xdr:spPr>
        <a:xfrm>
          <a:off x="1276350" y="46720125"/>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224</xdr:row>
      <xdr:rowOff>38100</xdr:rowOff>
    </xdr:from>
    <xdr:to>
      <xdr:col>4</xdr:col>
      <xdr:colOff>581025</xdr:colOff>
      <xdr:row>229</xdr:row>
      <xdr:rowOff>152400</xdr:rowOff>
    </xdr:to>
    <xdr:cxnSp macro="">
      <xdr:nvCxnSpPr>
        <xdr:cNvPr id="131" name="Straight Connector 130"/>
        <xdr:cNvCxnSpPr/>
      </xdr:nvCxnSpPr>
      <xdr:spPr>
        <a:xfrm>
          <a:off x="2981325" y="46805850"/>
          <a:ext cx="0" cy="962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226</xdr:row>
      <xdr:rowOff>160564</xdr:rowOff>
    </xdr:from>
    <xdr:to>
      <xdr:col>2</xdr:col>
      <xdr:colOff>76200</xdr:colOff>
      <xdr:row>226</xdr:row>
      <xdr:rowOff>160564</xdr:rowOff>
    </xdr:to>
    <xdr:cxnSp macro="">
      <xdr:nvCxnSpPr>
        <xdr:cNvPr id="132" name="Straight Arrow Connector 131"/>
        <xdr:cNvCxnSpPr/>
      </xdr:nvCxnSpPr>
      <xdr:spPr>
        <a:xfrm>
          <a:off x="276225" y="47241278"/>
          <a:ext cx="99740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228</xdr:row>
      <xdr:rowOff>145597</xdr:rowOff>
    </xdr:from>
    <xdr:to>
      <xdr:col>4</xdr:col>
      <xdr:colOff>581025</xdr:colOff>
      <xdr:row>228</xdr:row>
      <xdr:rowOff>145597</xdr:rowOff>
    </xdr:to>
    <xdr:cxnSp macro="">
      <xdr:nvCxnSpPr>
        <xdr:cNvPr id="133" name="Straight Arrow Connector 132"/>
        <xdr:cNvCxnSpPr/>
      </xdr:nvCxnSpPr>
      <xdr:spPr>
        <a:xfrm>
          <a:off x="276225" y="47566490"/>
          <a:ext cx="269965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217</xdr:row>
      <xdr:rowOff>138493</xdr:rowOff>
    </xdr:from>
    <xdr:to>
      <xdr:col>4</xdr:col>
      <xdr:colOff>333375</xdr:colOff>
      <xdr:row>219</xdr:row>
      <xdr:rowOff>38100</xdr:rowOff>
    </xdr:to>
    <xdr:grpSp>
      <xdr:nvGrpSpPr>
        <xdr:cNvPr id="134" name="Group 133"/>
        <xdr:cNvGrpSpPr/>
      </xdr:nvGrpSpPr>
      <xdr:grpSpPr>
        <a:xfrm>
          <a:off x="2583180" y="38223253"/>
          <a:ext cx="219075" cy="250127"/>
          <a:chOff x="2743200" y="22860000"/>
          <a:chExt cx="476250" cy="485775"/>
        </a:xfrm>
      </xdr:grpSpPr>
      <xdr:sp macro="" textlink="">
        <xdr:nvSpPr>
          <xdr:cNvPr id="135" name="Oval 134"/>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36" name="Straight Connector 135"/>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Straight Connector 136"/>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214</xdr:row>
      <xdr:rowOff>0</xdr:rowOff>
    </xdr:from>
    <xdr:to>
      <xdr:col>4</xdr:col>
      <xdr:colOff>228600</xdr:colOff>
      <xdr:row>217</xdr:row>
      <xdr:rowOff>76200</xdr:rowOff>
    </xdr:to>
    <xdr:cxnSp macro="">
      <xdr:nvCxnSpPr>
        <xdr:cNvPr id="138" name="Straight Connector 137"/>
        <xdr:cNvCxnSpPr/>
      </xdr:nvCxnSpPr>
      <xdr:spPr>
        <a:xfrm>
          <a:off x="2628900" y="45148500"/>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215</xdr:row>
      <xdr:rowOff>0</xdr:rowOff>
    </xdr:from>
    <xdr:to>
      <xdr:col>4</xdr:col>
      <xdr:colOff>238125</xdr:colOff>
      <xdr:row>215</xdr:row>
      <xdr:rowOff>0</xdr:rowOff>
    </xdr:to>
    <xdr:cxnSp macro="">
      <xdr:nvCxnSpPr>
        <xdr:cNvPr id="139" name="Straight Arrow Connector 138"/>
        <xdr:cNvCxnSpPr/>
      </xdr:nvCxnSpPr>
      <xdr:spPr>
        <a:xfrm>
          <a:off x="285750" y="45310425"/>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535820</xdr:colOff>
      <xdr:row>213</xdr:row>
      <xdr:rowOff>98906</xdr:rowOff>
    </xdr:from>
    <xdr:to>
      <xdr:col>4</xdr:col>
      <xdr:colOff>485698</xdr:colOff>
      <xdr:row>224</xdr:row>
      <xdr:rowOff>10312</xdr:rowOff>
    </xdr:to>
    <xdr:cxnSp macro="">
      <xdr:nvCxnSpPr>
        <xdr:cNvPr id="140" name="Straight Connector 139"/>
        <xdr:cNvCxnSpPr/>
      </xdr:nvCxnSpPr>
      <xdr:spPr>
        <a:xfrm flipH="1">
          <a:off x="2336045" y="45085481"/>
          <a:ext cx="549953" cy="16925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215</xdr:row>
      <xdr:rowOff>123825</xdr:rowOff>
    </xdr:from>
    <xdr:to>
      <xdr:col>5</xdr:col>
      <xdr:colOff>85725</xdr:colOff>
      <xdr:row>221</xdr:row>
      <xdr:rowOff>66675</xdr:rowOff>
    </xdr:to>
    <xdr:sp macro="" textlink="">
      <xdr:nvSpPr>
        <xdr:cNvPr id="141" name="Arc 140"/>
        <xdr:cNvSpPr/>
      </xdr:nvSpPr>
      <xdr:spPr>
        <a:xfrm>
          <a:off x="2171700" y="45434250"/>
          <a:ext cx="914400" cy="914400"/>
        </a:xfrm>
        <a:prstGeom prst="arc">
          <a:avLst>
            <a:gd name="adj1" fmla="val 16200000"/>
            <a:gd name="adj2" fmla="val 1732948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4</xdr:col>
      <xdr:colOff>342977</xdr:colOff>
      <xdr:row>220</xdr:row>
      <xdr:rowOff>138949</xdr:rowOff>
    </xdr:from>
    <xdr:to>
      <xdr:col>5</xdr:col>
      <xdr:colOff>64856</xdr:colOff>
      <xdr:row>226</xdr:row>
      <xdr:rowOff>158269</xdr:rowOff>
    </xdr:to>
    <xdr:cxnSp macro="">
      <xdr:nvCxnSpPr>
        <xdr:cNvPr id="142" name="Straight Connector 141"/>
        <xdr:cNvCxnSpPr/>
      </xdr:nvCxnSpPr>
      <xdr:spPr>
        <a:xfrm flipH="1">
          <a:off x="2743277" y="46258999"/>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562052</xdr:colOff>
      <xdr:row>217</xdr:row>
      <xdr:rowOff>157999</xdr:rowOff>
    </xdr:from>
    <xdr:to>
      <xdr:col>2</xdr:col>
      <xdr:colOff>283931</xdr:colOff>
      <xdr:row>224</xdr:row>
      <xdr:rowOff>15394</xdr:rowOff>
    </xdr:to>
    <xdr:cxnSp macro="">
      <xdr:nvCxnSpPr>
        <xdr:cNvPr id="143" name="Straight Connector 142"/>
        <xdr:cNvCxnSpPr/>
      </xdr:nvCxnSpPr>
      <xdr:spPr>
        <a:xfrm flipH="1">
          <a:off x="1162127" y="45792274"/>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2608</xdr:colOff>
      <xdr:row>223</xdr:row>
      <xdr:rowOff>32046</xdr:rowOff>
    </xdr:from>
    <xdr:to>
      <xdr:col>4</xdr:col>
      <xdr:colOff>374783</xdr:colOff>
      <xdr:row>226</xdr:row>
      <xdr:rowOff>57150</xdr:rowOff>
    </xdr:to>
    <xdr:cxnSp macro="">
      <xdr:nvCxnSpPr>
        <xdr:cNvPr id="144" name="Straight Connector 143"/>
        <xdr:cNvCxnSpPr/>
      </xdr:nvCxnSpPr>
      <xdr:spPr>
        <a:xfrm flipH="1" flipV="1">
          <a:off x="1202758" y="46637871"/>
          <a:ext cx="1572325" cy="510879"/>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126433</xdr:colOff>
      <xdr:row>220</xdr:row>
      <xdr:rowOff>117771</xdr:rowOff>
    </xdr:from>
    <xdr:to>
      <xdr:col>4</xdr:col>
      <xdr:colOff>0</xdr:colOff>
      <xdr:row>222</xdr:row>
      <xdr:rowOff>142793</xdr:rowOff>
    </xdr:to>
    <xdr:cxnSp macro="">
      <xdr:nvCxnSpPr>
        <xdr:cNvPr id="145" name="Straight Connector 144"/>
        <xdr:cNvCxnSpPr/>
      </xdr:nvCxnSpPr>
      <xdr:spPr>
        <a:xfrm flipH="1" flipV="1">
          <a:off x="1326583" y="46237821"/>
          <a:ext cx="1073717" cy="348872"/>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593159</xdr:colOff>
      <xdr:row>222</xdr:row>
      <xdr:rowOff>146346</xdr:rowOff>
    </xdr:from>
    <xdr:to>
      <xdr:col>4</xdr:col>
      <xdr:colOff>514350</xdr:colOff>
      <xdr:row>223</xdr:row>
      <xdr:rowOff>153791</xdr:rowOff>
    </xdr:to>
    <xdr:cxnSp macro="">
      <xdr:nvCxnSpPr>
        <xdr:cNvPr id="146" name="Straight Connector 145"/>
        <xdr:cNvCxnSpPr/>
      </xdr:nvCxnSpPr>
      <xdr:spPr>
        <a:xfrm flipH="1" flipV="1">
          <a:off x="2393384" y="46590246"/>
          <a:ext cx="521266" cy="16937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19050</xdr:colOff>
      <xdr:row>220</xdr:row>
      <xdr:rowOff>114300</xdr:rowOff>
    </xdr:from>
    <xdr:ext cx="264688" cy="239809"/>
    <xdr:sp macro="" textlink="">
      <xdr:nvSpPr>
        <xdr:cNvPr id="147" name="TextBox 146"/>
        <xdr:cNvSpPr txBox="1"/>
      </xdr:nvSpPr>
      <xdr:spPr>
        <a:xfrm>
          <a:off x="1819275" y="46234350"/>
          <a:ext cx="26468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a'</a:t>
          </a:r>
        </a:p>
      </xdr:txBody>
    </xdr:sp>
    <xdr:clientData/>
  </xdr:oneCellAnchor>
  <xdr:oneCellAnchor>
    <xdr:from>
      <xdr:col>4</xdr:col>
      <xdr:colOff>152400</xdr:colOff>
      <xdr:row>222</xdr:row>
      <xdr:rowOff>19050</xdr:rowOff>
    </xdr:from>
    <xdr:ext cx="271869" cy="239809"/>
    <xdr:sp macro="" textlink="">
      <xdr:nvSpPr>
        <xdr:cNvPr id="148" name="TextBox 147"/>
        <xdr:cNvSpPr txBox="1"/>
      </xdr:nvSpPr>
      <xdr:spPr>
        <a:xfrm>
          <a:off x="2552700" y="46462950"/>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b'</a:t>
          </a:r>
        </a:p>
      </xdr:txBody>
    </xdr:sp>
    <xdr:clientData/>
  </xdr:oneCellAnchor>
  <xdr:oneCellAnchor>
    <xdr:from>
      <xdr:col>3</xdr:col>
      <xdr:colOff>123825</xdr:colOff>
      <xdr:row>223</xdr:row>
      <xdr:rowOff>76200</xdr:rowOff>
    </xdr:from>
    <xdr:ext cx="271869" cy="239809"/>
    <xdr:sp macro="" textlink="">
      <xdr:nvSpPr>
        <xdr:cNvPr id="149" name="TextBox 148"/>
        <xdr:cNvSpPr txBox="1"/>
      </xdr:nvSpPr>
      <xdr:spPr>
        <a:xfrm>
          <a:off x="1924050" y="46682025"/>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d'</a:t>
          </a:r>
        </a:p>
      </xdr:txBody>
    </xdr:sp>
    <xdr:clientData/>
  </xdr:oneCellAnchor>
  <xdr:twoCellAnchor>
    <xdr:from>
      <xdr:col>4</xdr:col>
      <xdr:colOff>371477</xdr:colOff>
      <xdr:row>218</xdr:row>
      <xdr:rowOff>76200</xdr:rowOff>
    </xdr:from>
    <xdr:to>
      <xdr:col>5</xdr:col>
      <xdr:colOff>390525</xdr:colOff>
      <xdr:row>218</xdr:row>
      <xdr:rowOff>76200</xdr:rowOff>
    </xdr:to>
    <xdr:cxnSp macro="">
      <xdr:nvCxnSpPr>
        <xdr:cNvPr id="150" name="Straight Connector 149"/>
        <xdr:cNvCxnSpPr/>
      </xdr:nvCxnSpPr>
      <xdr:spPr>
        <a:xfrm flipH="1">
          <a:off x="2771777" y="45872400"/>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247652</xdr:colOff>
      <xdr:row>222</xdr:row>
      <xdr:rowOff>47625</xdr:rowOff>
    </xdr:from>
    <xdr:to>
      <xdr:col>5</xdr:col>
      <xdr:colOff>447675</xdr:colOff>
      <xdr:row>222</xdr:row>
      <xdr:rowOff>47625</xdr:rowOff>
    </xdr:to>
    <xdr:cxnSp macro="">
      <xdr:nvCxnSpPr>
        <xdr:cNvPr id="151" name="Straight Connector 150"/>
        <xdr:cNvCxnSpPr/>
      </xdr:nvCxnSpPr>
      <xdr:spPr>
        <a:xfrm flipH="1">
          <a:off x="3248027" y="46491525"/>
          <a:ext cx="2000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218</xdr:row>
      <xdr:rowOff>76200</xdr:rowOff>
    </xdr:from>
    <xdr:to>
      <xdr:col>5</xdr:col>
      <xdr:colOff>247650</xdr:colOff>
      <xdr:row>222</xdr:row>
      <xdr:rowOff>57150</xdr:rowOff>
    </xdr:to>
    <xdr:cxnSp macro="">
      <xdr:nvCxnSpPr>
        <xdr:cNvPr id="152" name="Straight Arrow Connector 151"/>
        <xdr:cNvCxnSpPr/>
      </xdr:nvCxnSpPr>
      <xdr:spPr>
        <a:xfrm>
          <a:off x="3248025" y="45872400"/>
          <a:ext cx="0" cy="6286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561975</xdr:colOff>
      <xdr:row>255</xdr:row>
      <xdr:rowOff>42862</xdr:rowOff>
    </xdr:from>
    <xdr:to>
      <xdr:col>2</xdr:col>
      <xdr:colOff>190500</xdr:colOff>
      <xdr:row>256</xdr:row>
      <xdr:rowOff>109537</xdr:rowOff>
    </xdr:to>
    <xdr:sp macro="" textlink="">
      <xdr:nvSpPr>
        <xdr:cNvPr id="167" name="Oval 166"/>
        <xdr:cNvSpPr/>
      </xdr:nvSpPr>
      <xdr:spPr>
        <a:xfrm>
          <a:off x="1162050" y="5150643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254</xdr:row>
      <xdr:rowOff>142875</xdr:rowOff>
    </xdr:from>
    <xdr:to>
      <xdr:col>5</xdr:col>
      <xdr:colOff>219075</xdr:colOff>
      <xdr:row>257</xdr:row>
      <xdr:rowOff>142875</xdr:rowOff>
    </xdr:to>
    <xdr:grpSp>
      <xdr:nvGrpSpPr>
        <xdr:cNvPr id="168" name="Group 167"/>
        <xdr:cNvGrpSpPr/>
      </xdr:nvGrpSpPr>
      <xdr:grpSpPr>
        <a:xfrm>
          <a:off x="2811780" y="44719875"/>
          <a:ext cx="493395" cy="525780"/>
          <a:chOff x="2743200" y="22860000"/>
          <a:chExt cx="476250" cy="485775"/>
        </a:xfrm>
      </xdr:grpSpPr>
      <xdr:sp macro="" textlink="">
        <xdr:nvSpPr>
          <xdr:cNvPr id="169" name="Oval 168"/>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70" name="Straight Connector 169"/>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1" name="Straight Connector 170"/>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254</xdr:row>
      <xdr:rowOff>76200</xdr:rowOff>
    </xdr:from>
    <xdr:to>
      <xdr:col>2</xdr:col>
      <xdr:colOff>76200</xdr:colOff>
      <xdr:row>257</xdr:row>
      <xdr:rowOff>76200</xdr:rowOff>
    </xdr:to>
    <xdr:cxnSp macro="">
      <xdr:nvCxnSpPr>
        <xdr:cNvPr id="172" name="Straight Connector 171"/>
        <xdr:cNvCxnSpPr/>
      </xdr:nvCxnSpPr>
      <xdr:spPr>
        <a:xfrm>
          <a:off x="1276350" y="5137785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255</xdr:row>
      <xdr:rowOff>157162</xdr:rowOff>
    </xdr:from>
    <xdr:to>
      <xdr:col>2</xdr:col>
      <xdr:colOff>314325</xdr:colOff>
      <xdr:row>255</xdr:row>
      <xdr:rowOff>157162</xdr:rowOff>
    </xdr:to>
    <xdr:cxnSp macro="">
      <xdr:nvCxnSpPr>
        <xdr:cNvPr id="173" name="Straight Connector 172"/>
        <xdr:cNvCxnSpPr/>
      </xdr:nvCxnSpPr>
      <xdr:spPr>
        <a:xfrm>
          <a:off x="1038225" y="5162073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248</xdr:row>
      <xdr:rowOff>104775</xdr:rowOff>
    </xdr:from>
    <xdr:to>
      <xdr:col>0</xdr:col>
      <xdr:colOff>276225</xdr:colOff>
      <xdr:row>263</xdr:row>
      <xdr:rowOff>19050</xdr:rowOff>
    </xdr:to>
    <xdr:cxnSp macro="">
      <xdr:nvCxnSpPr>
        <xdr:cNvPr id="174" name="Straight Connector 173"/>
        <xdr:cNvCxnSpPr/>
      </xdr:nvCxnSpPr>
      <xdr:spPr>
        <a:xfrm>
          <a:off x="276225" y="50434875"/>
          <a:ext cx="0" cy="2381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257</xdr:row>
      <xdr:rowOff>114300</xdr:rowOff>
    </xdr:from>
    <xdr:to>
      <xdr:col>2</xdr:col>
      <xdr:colOff>76200</xdr:colOff>
      <xdr:row>261</xdr:row>
      <xdr:rowOff>95250</xdr:rowOff>
    </xdr:to>
    <xdr:cxnSp macro="">
      <xdr:nvCxnSpPr>
        <xdr:cNvPr id="175" name="Straight Connector 174"/>
        <xdr:cNvCxnSpPr/>
      </xdr:nvCxnSpPr>
      <xdr:spPr>
        <a:xfrm>
          <a:off x="1276350" y="51901725"/>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258</xdr:row>
      <xdr:rowOff>38100</xdr:rowOff>
    </xdr:from>
    <xdr:to>
      <xdr:col>4</xdr:col>
      <xdr:colOff>581025</xdr:colOff>
      <xdr:row>263</xdr:row>
      <xdr:rowOff>152400</xdr:rowOff>
    </xdr:to>
    <xdr:cxnSp macro="">
      <xdr:nvCxnSpPr>
        <xdr:cNvPr id="176" name="Straight Connector 175"/>
        <xdr:cNvCxnSpPr/>
      </xdr:nvCxnSpPr>
      <xdr:spPr>
        <a:xfrm>
          <a:off x="2981325" y="51987450"/>
          <a:ext cx="0" cy="962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260</xdr:row>
      <xdr:rowOff>160564</xdr:rowOff>
    </xdr:from>
    <xdr:to>
      <xdr:col>2</xdr:col>
      <xdr:colOff>76200</xdr:colOff>
      <xdr:row>260</xdr:row>
      <xdr:rowOff>160564</xdr:rowOff>
    </xdr:to>
    <xdr:cxnSp macro="">
      <xdr:nvCxnSpPr>
        <xdr:cNvPr id="177" name="Straight Arrow Connector 176"/>
        <xdr:cNvCxnSpPr/>
      </xdr:nvCxnSpPr>
      <xdr:spPr>
        <a:xfrm>
          <a:off x="276225" y="52493635"/>
          <a:ext cx="99740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262</xdr:row>
      <xdr:rowOff>145597</xdr:rowOff>
    </xdr:from>
    <xdr:to>
      <xdr:col>4</xdr:col>
      <xdr:colOff>581025</xdr:colOff>
      <xdr:row>262</xdr:row>
      <xdr:rowOff>145597</xdr:rowOff>
    </xdr:to>
    <xdr:cxnSp macro="">
      <xdr:nvCxnSpPr>
        <xdr:cNvPr id="178" name="Straight Arrow Connector 177"/>
        <xdr:cNvCxnSpPr/>
      </xdr:nvCxnSpPr>
      <xdr:spPr>
        <a:xfrm>
          <a:off x="276225" y="52818847"/>
          <a:ext cx="269965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251</xdr:row>
      <xdr:rowOff>138493</xdr:rowOff>
    </xdr:from>
    <xdr:to>
      <xdr:col>4</xdr:col>
      <xdr:colOff>333375</xdr:colOff>
      <xdr:row>253</xdr:row>
      <xdr:rowOff>38100</xdr:rowOff>
    </xdr:to>
    <xdr:grpSp>
      <xdr:nvGrpSpPr>
        <xdr:cNvPr id="179" name="Group 178"/>
        <xdr:cNvGrpSpPr/>
      </xdr:nvGrpSpPr>
      <xdr:grpSpPr>
        <a:xfrm>
          <a:off x="2583180" y="44189713"/>
          <a:ext cx="219075" cy="250127"/>
          <a:chOff x="2743200" y="22860000"/>
          <a:chExt cx="476250" cy="485775"/>
        </a:xfrm>
      </xdr:grpSpPr>
      <xdr:sp macro="" textlink="">
        <xdr:nvSpPr>
          <xdr:cNvPr id="180" name="Oval 179"/>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81" name="Straight Connector 180"/>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2" name="Straight Connector 181"/>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248</xdr:row>
      <xdr:rowOff>0</xdr:rowOff>
    </xdr:from>
    <xdr:to>
      <xdr:col>4</xdr:col>
      <xdr:colOff>228600</xdr:colOff>
      <xdr:row>251</xdr:row>
      <xdr:rowOff>76200</xdr:rowOff>
    </xdr:to>
    <xdr:cxnSp macro="">
      <xdr:nvCxnSpPr>
        <xdr:cNvPr id="183" name="Straight Connector 182"/>
        <xdr:cNvCxnSpPr/>
      </xdr:nvCxnSpPr>
      <xdr:spPr>
        <a:xfrm>
          <a:off x="2628900" y="50330100"/>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249</xdr:row>
      <xdr:rowOff>0</xdr:rowOff>
    </xdr:from>
    <xdr:to>
      <xdr:col>4</xdr:col>
      <xdr:colOff>238125</xdr:colOff>
      <xdr:row>249</xdr:row>
      <xdr:rowOff>0</xdr:rowOff>
    </xdr:to>
    <xdr:cxnSp macro="">
      <xdr:nvCxnSpPr>
        <xdr:cNvPr id="184" name="Straight Arrow Connector 183"/>
        <xdr:cNvCxnSpPr/>
      </xdr:nvCxnSpPr>
      <xdr:spPr>
        <a:xfrm>
          <a:off x="285750" y="50492025"/>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535820</xdr:colOff>
      <xdr:row>247</xdr:row>
      <xdr:rowOff>98906</xdr:rowOff>
    </xdr:from>
    <xdr:to>
      <xdr:col>4</xdr:col>
      <xdr:colOff>485698</xdr:colOff>
      <xdr:row>258</xdr:row>
      <xdr:rowOff>10312</xdr:rowOff>
    </xdr:to>
    <xdr:cxnSp macro="">
      <xdr:nvCxnSpPr>
        <xdr:cNvPr id="185" name="Straight Connector 184"/>
        <xdr:cNvCxnSpPr/>
      </xdr:nvCxnSpPr>
      <xdr:spPr>
        <a:xfrm flipH="1">
          <a:off x="2336045" y="50267081"/>
          <a:ext cx="549953" cy="16925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249</xdr:row>
      <xdr:rowOff>123825</xdr:rowOff>
    </xdr:from>
    <xdr:to>
      <xdr:col>5</xdr:col>
      <xdr:colOff>85725</xdr:colOff>
      <xdr:row>255</xdr:row>
      <xdr:rowOff>66675</xdr:rowOff>
    </xdr:to>
    <xdr:sp macro="" textlink="">
      <xdr:nvSpPr>
        <xdr:cNvPr id="186" name="Arc 185"/>
        <xdr:cNvSpPr/>
      </xdr:nvSpPr>
      <xdr:spPr>
        <a:xfrm>
          <a:off x="2171700" y="50615850"/>
          <a:ext cx="914400" cy="914400"/>
        </a:xfrm>
        <a:prstGeom prst="arc">
          <a:avLst>
            <a:gd name="adj1" fmla="val 16200000"/>
            <a:gd name="adj2" fmla="val 1732948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4</xdr:col>
      <xdr:colOff>342977</xdr:colOff>
      <xdr:row>254</xdr:row>
      <xdr:rowOff>138949</xdr:rowOff>
    </xdr:from>
    <xdr:to>
      <xdr:col>5</xdr:col>
      <xdr:colOff>64856</xdr:colOff>
      <xdr:row>260</xdr:row>
      <xdr:rowOff>158269</xdr:rowOff>
    </xdr:to>
    <xdr:cxnSp macro="">
      <xdr:nvCxnSpPr>
        <xdr:cNvPr id="187" name="Straight Connector 186"/>
        <xdr:cNvCxnSpPr/>
      </xdr:nvCxnSpPr>
      <xdr:spPr>
        <a:xfrm flipH="1">
          <a:off x="2743277" y="51440599"/>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562052</xdr:colOff>
      <xdr:row>251</xdr:row>
      <xdr:rowOff>157999</xdr:rowOff>
    </xdr:from>
    <xdr:to>
      <xdr:col>2</xdr:col>
      <xdr:colOff>283931</xdr:colOff>
      <xdr:row>258</xdr:row>
      <xdr:rowOff>15394</xdr:rowOff>
    </xdr:to>
    <xdr:cxnSp macro="">
      <xdr:nvCxnSpPr>
        <xdr:cNvPr id="188" name="Straight Connector 187"/>
        <xdr:cNvCxnSpPr/>
      </xdr:nvCxnSpPr>
      <xdr:spPr>
        <a:xfrm flipH="1">
          <a:off x="1162127" y="50973874"/>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2608</xdr:colOff>
      <xdr:row>257</xdr:row>
      <xdr:rowOff>32046</xdr:rowOff>
    </xdr:from>
    <xdr:to>
      <xdr:col>4</xdr:col>
      <xdr:colOff>374783</xdr:colOff>
      <xdr:row>260</xdr:row>
      <xdr:rowOff>57150</xdr:rowOff>
    </xdr:to>
    <xdr:cxnSp macro="">
      <xdr:nvCxnSpPr>
        <xdr:cNvPr id="189" name="Straight Connector 188"/>
        <xdr:cNvCxnSpPr/>
      </xdr:nvCxnSpPr>
      <xdr:spPr>
        <a:xfrm flipH="1" flipV="1">
          <a:off x="1202758" y="51819471"/>
          <a:ext cx="1572325" cy="510879"/>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126433</xdr:colOff>
      <xdr:row>254</xdr:row>
      <xdr:rowOff>117771</xdr:rowOff>
    </xdr:from>
    <xdr:to>
      <xdr:col>4</xdr:col>
      <xdr:colOff>0</xdr:colOff>
      <xdr:row>256</xdr:row>
      <xdr:rowOff>142793</xdr:rowOff>
    </xdr:to>
    <xdr:cxnSp macro="">
      <xdr:nvCxnSpPr>
        <xdr:cNvPr id="190" name="Straight Connector 189"/>
        <xdr:cNvCxnSpPr/>
      </xdr:nvCxnSpPr>
      <xdr:spPr>
        <a:xfrm flipH="1" flipV="1">
          <a:off x="1326583" y="51419421"/>
          <a:ext cx="1073717" cy="348872"/>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593159</xdr:colOff>
      <xdr:row>256</xdr:row>
      <xdr:rowOff>146346</xdr:rowOff>
    </xdr:from>
    <xdr:to>
      <xdr:col>4</xdr:col>
      <xdr:colOff>514350</xdr:colOff>
      <xdr:row>257</xdr:row>
      <xdr:rowOff>153791</xdr:rowOff>
    </xdr:to>
    <xdr:cxnSp macro="">
      <xdr:nvCxnSpPr>
        <xdr:cNvPr id="191" name="Straight Connector 190"/>
        <xdr:cNvCxnSpPr/>
      </xdr:nvCxnSpPr>
      <xdr:spPr>
        <a:xfrm flipH="1" flipV="1">
          <a:off x="2393384" y="51771846"/>
          <a:ext cx="521266" cy="16937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19050</xdr:colOff>
      <xdr:row>254</xdr:row>
      <xdr:rowOff>114300</xdr:rowOff>
    </xdr:from>
    <xdr:ext cx="264688" cy="239809"/>
    <xdr:sp macro="" textlink="">
      <xdr:nvSpPr>
        <xdr:cNvPr id="192" name="TextBox 191"/>
        <xdr:cNvSpPr txBox="1"/>
      </xdr:nvSpPr>
      <xdr:spPr>
        <a:xfrm>
          <a:off x="1819275" y="51415950"/>
          <a:ext cx="26468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a'</a:t>
          </a:r>
        </a:p>
      </xdr:txBody>
    </xdr:sp>
    <xdr:clientData/>
  </xdr:oneCellAnchor>
  <xdr:oneCellAnchor>
    <xdr:from>
      <xdr:col>4</xdr:col>
      <xdr:colOff>152400</xdr:colOff>
      <xdr:row>256</xdr:row>
      <xdr:rowOff>19050</xdr:rowOff>
    </xdr:from>
    <xdr:ext cx="271869" cy="239809"/>
    <xdr:sp macro="" textlink="">
      <xdr:nvSpPr>
        <xdr:cNvPr id="193" name="TextBox 192"/>
        <xdr:cNvSpPr txBox="1"/>
      </xdr:nvSpPr>
      <xdr:spPr>
        <a:xfrm>
          <a:off x="2552700" y="51644550"/>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b'</a:t>
          </a:r>
        </a:p>
      </xdr:txBody>
    </xdr:sp>
    <xdr:clientData/>
  </xdr:oneCellAnchor>
  <xdr:oneCellAnchor>
    <xdr:from>
      <xdr:col>3</xdr:col>
      <xdr:colOff>123825</xdr:colOff>
      <xdr:row>257</xdr:row>
      <xdr:rowOff>76200</xdr:rowOff>
    </xdr:from>
    <xdr:ext cx="271869" cy="239809"/>
    <xdr:sp macro="" textlink="">
      <xdr:nvSpPr>
        <xdr:cNvPr id="194" name="TextBox 193"/>
        <xdr:cNvSpPr txBox="1"/>
      </xdr:nvSpPr>
      <xdr:spPr>
        <a:xfrm>
          <a:off x="1924050" y="51863625"/>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d'</a:t>
          </a:r>
        </a:p>
      </xdr:txBody>
    </xdr:sp>
    <xdr:clientData/>
  </xdr:oneCellAnchor>
  <xdr:twoCellAnchor>
    <xdr:from>
      <xdr:col>4</xdr:col>
      <xdr:colOff>371477</xdr:colOff>
      <xdr:row>252</xdr:row>
      <xdr:rowOff>76200</xdr:rowOff>
    </xdr:from>
    <xdr:to>
      <xdr:col>5</xdr:col>
      <xdr:colOff>390525</xdr:colOff>
      <xdr:row>252</xdr:row>
      <xdr:rowOff>76200</xdr:rowOff>
    </xdr:to>
    <xdr:cxnSp macro="">
      <xdr:nvCxnSpPr>
        <xdr:cNvPr id="195" name="Straight Connector 194"/>
        <xdr:cNvCxnSpPr/>
      </xdr:nvCxnSpPr>
      <xdr:spPr>
        <a:xfrm flipH="1">
          <a:off x="2771777" y="51054000"/>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247652</xdr:colOff>
      <xdr:row>256</xdr:row>
      <xdr:rowOff>47625</xdr:rowOff>
    </xdr:from>
    <xdr:to>
      <xdr:col>5</xdr:col>
      <xdr:colOff>447675</xdr:colOff>
      <xdr:row>256</xdr:row>
      <xdr:rowOff>47625</xdr:rowOff>
    </xdr:to>
    <xdr:cxnSp macro="">
      <xdr:nvCxnSpPr>
        <xdr:cNvPr id="196" name="Straight Connector 195"/>
        <xdr:cNvCxnSpPr/>
      </xdr:nvCxnSpPr>
      <xdr:spPr>
        <a:xfrm flipH="1">
          <a:off x="3248027" y="51673125"/>
          <a:ext cx="2000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252</xdr:row>
      <xdr:rowOff>76200</xdr:rowOff>
    </xdr:from>
    <xdr:to>
      <xdr:col>5</xdr:col>
      <xdr:colOff>247650</xdr:colOff>
      <xdr:row>256</xdr:row>
      <xdr:rowOff>57150</xdr:rowOff>
    </xdr:to>
    <xdr:cxnSp macro="">
      <xdr:nvCxnSpPr>
        <xdr:cNvPr id="197" name="Straight Arrow Connector 196"/>
        <xdr:cNvCxnSpPr/>
      </xdr:nvCxnSpPr>
      <xdr:spPr>
        <a:xfrm>
          <a:off x="3248025" y="51054000"/>
          <a:ext cx="0" cy="6286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561975</xdr:colOff>
      <xdr:row>279</xdr:row>
      <xdr:rowOff>42862</xdr:rowOff>
    </xdr:from>
    <xdr:to>
      <xdr:col>2</xdr:col>
      <xdr:colOff>190500</xdr:colOff>
      <xdr:row>280</xdr:row>
      <xdr:rowOff>109537</xdr:rowOff>
    </xdr:to>
    <xdr:sp macro="" textlink="">
      <xdr:nvSpPr>
        <xdr:cNvPr id="212" name="Oval 211"/>
        <xdr:cNvSpPr/>
      </xdr:nvSpPr>
      <xdr:spPr>
        <a:xfrm>
          <a:off x="1162050" y="556783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278</xdr:row>
      <xdr:rowOff>142875</xdr:rowOff>
    </xdr:from>
    <xdr:to>
      <xdr:col>5</xdr:col>
      <xdr:colOff>219075</xdr:colOff>
      <xdr:row>281</xdr:row>
      <xdr:rowOff>142875</xdr:rowOff>
    </xdr:to>
    <xdr:grpSp>
      <xdr:nvGrpSpPr>
        <xdr:cNvPr id="213" name="Group 212"/>
        <xdr:cNvGrpSpPr/>
      </xdr:nvGrpSpPr>
      <xdr:grpSpPr>
        <a:xfrm>
          <a:off x="2811780" y="48941355"/>
          <a:ext cx="493395" cy="525780"/>
          <a:chOff x="2743200" y="22860000"/>
          <a:chExt cx="476250" cy="485775"/>
        </a:xfrm>
      </xdr:grpSpPr>
      <xdr:sp macro="" textlink="">
        <xdr:nvSpPr>
          <xdr:cNvPr id="214" name="Oval 213"/>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15" name="Straight Connector 214"/>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6" name="Straight Connector 215"/>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278</xdr:row>
      <xdr:rowOff>76200</xdr:rowOff>
    </xdr:from>
    <xdr:to>
      <xdr:col>2</xdr:col>
      <xdr:colOff>76200</xdr:colOff>
      <xdr:row>281</xdr:row>
      <xdr:rowOff>76200</xdr:rowOff>
    </xdr:to>
    <xdr:cxnSp macro="">
      <xdr:nvCxnSpPr>
        <xdr:cNvPr id="217" name="Straight Connector 216"/>
        <xdr:cNvCxnSpPr/>
      </xdr:nvCxnSpPr>
      <xdr:spPr>
        <a:xfrm>
          <a:off x="1276350" y="555498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279</xdr:row>
      <xdr:rowOff>157162</xdr:rowOff>
    </xdr:from>
    <xdr:to>
      <xdr:col>2</xdr:col>
      <xdr:colOff>314325</xdr:colOff>
      <xdr:row>279</xdr:row>
      <xdr:rowOff>157162</xdr:rowOff>
    </xdr:to>
    <xdr:cxnSp macro="">
      <xdr:nvCxnSpPr>
        <xdr:cNvPr id="218" name="Straight Connector 217"/>
        <xdr:cNvCxnSpPr/>
      </xdr:nvCxnSpPr>
      <xdr:spPr>
        <a:xfrm>
          <a:off x="1038225" y="557926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272</xdr:row>
      <xdr:rowOff>104775</xdr:rowOff>
    </xdr:from>
    <xdr:to>
      <xdr:col>0</xdr:col>
      <xdr:colOff>276225</xdr:colOff>
      <xdr:row>287</xdr:row>
      <xdr:rowOff>19050</xdr:rowOff>
    </xdr:to>
    <xdr:cxnSp macro="">
      <xdr:nvCxnSpPr>
        <xdr:cNvPr id="219" name="Straight Connector 218"/>
        <xdr:cNvCxnSpPr/>
      </xdr:nvCxnSpPr>
      <xdr:spPr>
        <a:xfrm>
          <a:off x="276225" y="54606825"/>
          <a:ext cx="0" cy="2381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281</xdr:row>
      <xdr:rowOff>114300</xdr:rowOff>
    </xdr:from>
    <xdr:to>
      <xdr:col>2</xdr:col>
      <xdr:colOff>76200</xdr:colOff>
      <xdr:row>285</xdr:row>
      <xdr:rowOff>95250</xdr:rowOff>
    </xdr:to>
    <xdr:cxnSp macro="">
      <xdr:nvCxnSpPr>
        <xdr:cNvPr id="220" name="Straight Connector 219"/>
        <xdr:cNvCxnSpPr/>
      </xdr:nvCxnSpPr>
      <xdr:spPr>
        <a:xfrm>
          <a:off x="1276350" y="56073675"/>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282</xdr:row>
      <xdr:rowOff>38100</xdr:rowOff>
    </xdr:from>
    <xdr:to>
      <xdr:col>4</xdr:col>
      <xdr:colOff>581025</xdr:colOff>
      <xdr:row>287</xdr:row>
      <xdr:rowOff>152400</xdr:rowOff>
    </xdr:to>
    <xdr:cxnSp macro="">
      <xdr:nvCxnSpPr>
        <xdr:cNvPr id="221" name="Straight Connector 220"/>
        <xdr:cNvCxnSpPr/>
      </xdr:nvCxnSpPr>
      <xdr:spPr>
        <a:xfrm>
          <a:off x="2981325" y="56159400"/>
          <a:ext cx="0" cy="962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285</xdr:row>
      <xdr:rowOff>10885</xdr:rowOff>
    </xdr:from>
    <xdr:to>
      <xdr:col>2</xdr:col>
      <xdr:colOff>76200</xdr:colOff>
      <xdr:row>285</xdr:row>
      <xdr:rowOff>10885</xdr:rowOff>
    </xdr:to>
    <xdr:cxnSp macro="">
      <xdr:nvCxnSpPr>
        <xdr:cNvPr id="222" name="Straight Arrow Connector 221"/>
        <xdr:cNvCxnSpPr/>
      </xdr:nvCxnSpPr>
      <xdr:spPr>
        <a:xfrm>
          <a:off x="276225" y="56602992"/>
          <a:ext cx="99740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286</xdr:row>
      <xdr:rowOff>145597</xdr:rowOff>
    </xdr:from>
    <xdr:to>
      <xdr:col>4</xdr:col>
      <xdr:colOff>581025</xdr:colOff>
      <xdr:row>286</xdr:row>
      <xdr:rowOff>145597</xdr:rowOff>
    </xdr:to>
    <xdr:cxnSp macro="">
      <xdr:nvCxnSpPr>
        <xdr:cNvPr id="223" name="Straight Arrow Connector 222"/>
        <xdr:cNvCxnSpPr/>
      </xdr:nvCxnSpPr>
      <xdr:spPr>
        <a:xfrm>
          <a:off x="276225" y="56914597"/>
          <a:ext cx="269965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275</xdr:row>
      <xdr:rowOff>138493</xdr:rowOff>
    </xdr:from>
    <xdr:to>
      <xdr:col>4</xdr:col>
      <xdr:colOff>333375</xdr:colOff>
      <xdr:row>277</xdr:row>
      <xdr:rowOff>38100</xdr:rowOff>
    </xdr:to>
    <xdr:grpSp>
      <xdr:nvGrpSpPr>
        <xdr:cNvPr id="224" name="Group 223"/>
        <xdr:cNvGrpSpPr/>
      </xdr:nvGrpSpPr>
      <xdr:grpSpPr>
        <a:xfrm>
          <a:off x="2583180" y="48411193"/>
          <a:ext cx="219075" cy="250127"/>
          <a:chOff x="2743200" y="22860000"/>
          <a:chExt cx="476250" cy="485775"/>
        </a:xfrm>
      </xdr:grpSpPr>
      <xdr:sp macro="" textlink="">
        <xdr:nvSpPr>
          <xdr:cNvPr id="225" name="Oval 224"/>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26" name="Straight Connector 225"/>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7" name="Straight Connector 226"/>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272</xdr:row>
      <xdr:rowOff>0</xdr:rowOff>
    </xdr:from>
    <xdr:to>
      <xdr:col>4</xdr:col>
      <xdr:colOff>228600</xdr:colOff>
      <xdr:row>275</xdr:row>
      <xdr:rowOff>76200</xdr:rowOff>
    </xdr:to>
    <xdr:cxnSp macro="">
      <xdr:nvCxnSpPr>
        <xdr:cNvPr id="228" name="Straight Connector 227"/>
        <xdr:cNvCxnSpPr/>
      </xdr:nvCxnSpPr>
      <xdr:spPr>
        <a:xfrm>
          <a:off x="2628900" y="54502050"/>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273</xdr:row>
      <xdr:rowOff>0</xdr:rowOff>
    </xdr:from>
    <xdr:to>
      <xdr:col>4</xdr:col>
      <xdr:colOff>238125</xdr:colOff>
      <xdr:row>273</xdr:row>
      <xdr:rowOff>0</xdr:rowOff>
    </xdr:to>
    <xdr:cxnSp macro="">
      <xdr:nvCxnSpPr>
        <xdr:cNvPr id="229" name="Straight Arrow Connector 228"/>
        <xdr:cNvCxnSpPr/>
      </xdr:nvCxnSpPr>
      <xdr:spPr>
        <a:xfrm>
          <a:off x="285750" y="54663975"/>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535820</xdr:colOff>
      <xdr:row>271</xdr:row>
      <xdr:rowOff>98906</xdr:rowOff>
    </xdr:from>
    <xdr:to>
      <xdr:col>4</xdr:col>
      <xdr:colOff>485698</xdr:colOff>
      <xdr:row>282</xdr:row>
      <xdr:rowOff>10312</xdr:rowOff>
    </xdr:to>
    <xdr:cxnSp macro="">
      <xdr:nvCxnSpPr>
        <xdr:cNvPr id="230" name="Straight Connector 229"/>
        <xdr:cNvCxnSpPr/>
      </xdr:nvCxnSpPr>
      <xdr:spPr>
        <a:xfrm flipH="1">
          <a:off x="2336045" y="54439031"/>
          <a:ext cx="549953" cy="16925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273</xdr:row>
      <xdr:rowOff>123825</xdr:rowOff>
    </xdr:from>
    <xdr:to>
      <xdr:col>5</xdr:col>
      <xdr:colOff>85725</xdr:colOff>
      <xdr:row>279</xdr:row>
      <xdr:rowOff>66675</xdr:rowOff>
    </xdr:to>
    <xdr:sp macro="" textlink="">
      <xdr:nvSpPr>
        <xdr:cNvPr id="231" name="Arc 230"/>
        <xdr:cNvSpPr/>
      </xdr:nvSpPr>
      <xdr:spPr>
        <a:xfrm>
          <a:off x="2171700" y="54787800"/>
          <a:ext cx="914400" cy="914400"/>
        </a:xfrm>
        <a:prstGeom prst="arc">
          <a:avLst>
            <a:gd name="adj1" fmla="val 16200000"/>
            <a:gd name="adj2" fmla="val 1732948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4</xdr:col>
      <xdr:colOff>342977</xdr:colOff>
      <xdr:row>278</xdr:row>
      <xdr:rowOff>138949</xdr:rowOff>
    </xdr:from>
    <xdr:to>
      <xdr:col>5</xdr:col>
      <xdr:colOff>64856</xdr:colOff>
      <xdr:row>284</xdr:row>
      <xdr:rowOff>158269</xdr:rowOff>
    </xdr:to>
    <xdr:cxnSp macro="">
      <xdr:nvCxnSpPr>
        <xdr:cNvPr id="232" name="Straight Connector 231"/>
        <xdr:cNvCxnSpPr/>
      </xdr:nvCxnSpPr>
      <xdr:spPr>
        <a:xfrm flipH="1">
          <a:off x="2743277" y="55612549"/>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562052</xdr:colOff>
      <xdr:row>275</xdr:row>
      <xdr:rowOff>157999</xdr:rowOff>
    </xdr:from>
    <xdr:to>
      <xdr:col>2</xdr:col>
      <xdr:colOff>283931</xdr:colOff>
      <xdr:row>282</xdr:row>
      <xdr:rowOff>15394</xdr:rowOff>
    </xdr:to>
    <xdr:cxnSp macro="">
      <xdr:nvCxnSpPr>
        <xdr:cNvPr id="233" name="Straight Connector 232"/>
        <xdr:cNvCxnSpPr/>
      </xdr:nvCxnSpPr>
      <xdr:spPr>
        <a:xfrm flipH="1">
          <a:off x="1162127" y="55145824"/>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2608</xdr:colOff>
      <xdr:row>281</xdr:row>
      <xdr:rowOff>32046</xdr:rowOff>
    </xdr:from>
    <xdr:to>
      <xdr:col>4</xdr:col>
      <xdr:colOff>374783</xdr:colOff>
      <xdr:row>284</xdr:row>
      <xdr:rowOff>57150</xdr:rowOff>
    </xdr:to>
    <xdr:cxnSp macro="">
      <xdr:nvCxnSpPr>
        <xdr:cNvPr id="234" name="Straight Connector 233"/>
        <xdr:cNvCxnSpPr/>
      </xdr:nvCxnSpPr>
      <xdr:spPr>
        <a:xfrm flipH="1" flipV="1">
          <a:off x="1202758" y="55991421"/>
          <a:ext cx="1572325" cy="510879"/>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126433</xdr:colOff>
      <xdr:row>278</xdr:row>
      <xdr:rowOff>117771</xdr:rowOff>
    </xdr:from>
    <xdr:to>
      <xdr:col>4</xdr:col>
      <xdr:colOff>0</xdr:colOff>
      <xdr:row>280</xdr:row>
      <xdr:rowOff>142793</xdr:rowOff>
    </xdr:to>
    <xdr:cxnSp macro="">
      <xdr:nvCxnSpPr>
        <xdr:cNvPr id="235" name="Straight Connector 234"/>
        <xdr:cNvCxnSpPr/>
      </xdr:nvCxnSpPr>
      <xdr:spPr>
        <a:xfrm flipH="1" flipV="1">
          <a:off x="1326583" y="55591371"/>
          <a:ext cx="1073717" cy="348872"/>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593159</xdr:colOff>
      <xdr:row>280</xdr:row>
      <xdr:rowOff>146346</xdr:rowOff>
    </xdr:from>
    <xdr:to>
      <xdr:col>4</xdr:col>
      <xdr:colOff>514350</xdr:colOff>
      <xdr:row>281</xdr:row>
      <xdr:rowOff>153791</xdr:rowOff>
    </xdr:to>
    <xdr:cxnSp macro="">
      <xdr:nvCxnSpPr>
        <xdr:cNvPr id="236" name="Straight Connector 235"/>
        <xdr:cNvCxnSpPr/>
      </xdr:nvCxnSpPr>
      <xdr:spPr>
        <a:xfrm flipH="1" flipV="1">
          <a:off x="2393384" y="55943796"/>
          <a:ext cx="521266" cy="16937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19050</xdr:colOff>
      <xdr:row>278</xdr:row>
      <xdr:rowOff>114300</xdr:rowOff>
    </xdr:from>
    <xdr:ext cx="264688" cy="239809"/>
    <xdr:sp macro="" textlink="">
      <xdr:nvSpPr>
        <xdr:cNvPr id="237" name="TextBox 236"/>
        <xdr:cNvSpPr txBox="1"/>
      </xdr:nvSpPr>
      <xdr:spPr>
        <a:xfrm>
          <a:off x="1819275" y="55587900"/>
          <a:ext cx="26468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a'</a:t>
          </a:r>
        </a:p>
      </xdr:txBody>
    </xdr:sp>
    <xdr:clientData/>
  </xdr:oneCellAnchor>
  <xdr:oneCellAnchor>
    <xdr:from>
      <xdr:col>4</xdr:col>
      <xdr:colOff>152400</xdr:colOff>
      <xdr:row>280</xdr:row>
      <xdr:rowOff>19050</xdr:rowOff>
    </xdr:from>
    <xdr:ext cx="271869" cy="239809"/>
    <xdr:sp macro="" textlink="">
      <xdr:nvSpPr>
        <xdr:cNvPr id="238" name="TextBox 237"/>
        <xdr:cNvSpPr txBox="1"/>
      </xdr:nvSpPr>
      <xdr:spPr>
        <a:xfrm>
          <a:off x="2552700" y="55816500"/>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b'</a:t>
          </a:r>
        </a:p>
      </xdr:txBody>
    </xdr:sp>
    <xdr:clientData/>
  </xdr:oneCellAnchor>
  <xdr:oneCellAnchor>
    <xdr:from>
      <xdr:col>3</xdr:col>
      <xdr:colOff>123825</xdr:colOff>
      <xdr:row>281</xdr:row>
      <xdr:rowOff>76200</xdr:rowOff>
    </xdr:from>
    <xdr:ext cx="271869" cy="239809"/>
    <xdr:sp macro="" textlink="">
      <xdr:nvSpPr>
        <xdr:cNvPr id="239" name="TextBox 238"/>
        <xdr:cNvSpPr txBox="1"/>
      </xdr:nvSpPr>
      <xdr:spPr>
        <a:xfrm>
          <a:off x="1924050" y="56035575"/>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d'</a:t>
          </a:r>
        </a:p>
      </xdr:txBody>
    </xdr:sp>
    <xdr:clientData/>
  </xdr:oneCellAnchor>
  <xdr:twoCellAnchor>
    <xdr:from>
      <xdr:col>4</xdr:col>
      <xdr:colOff>371477</xdr:colOff>
      <xdr:row>276</xdr:row>
      <xdr:rowOff>76200</xdr:rowOff>
    </xdr:from>
    <xdr:to>
      <xdr:col>5</xdr:col>
      <xdr:colOff>390525</xdr:colOff>
      <xdr:row>276</xdr:row>
      <xdr:rowOff>76200</xdr:rowOff>
    </xdr:to>
    <xdr:cxnSp macro="">
      <xdr:nvCxnSpPr>
        <xdr:cNvPr id="240" name="Straight Connector 239"/>
        <xdr:cNvCxnSpPr/>
      </xdr:nvCxnSpPr>
      <xdr:spPr>
        <a:xfrm flipH="1">
          <a:off x="2771777" y="55225950"/>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247652</xdr:colOff>
      <xdr:row>280</xdr:row>
      <xdr:rowOff>47625</xdr:rowOff>
    </xdr:from>
    <xdr:to>
      <xdr:col>5</xdr:col>
      <xdr:colOff>447675</xdr:colOff>
      <xdr:row>280</xdr:row>
      <xdr:rowOff>47625</xdr:rowOff>
    </xdr:to>
    <xdr:cxnSp macro="">
      <xdr:nvCxnSpPr>
        <xdr:cNvPr id="241" name="Straight Connector 240"/>
        <xdr:cNvCxnSpPr/>
      </xdr:nvCxnSpPr>
      <xdr:spPr>
        <a:xfrm flipH="1">
          <a:off x="3248027" y="55845075"/>
          <a:ext cx="2000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276</xdr:row>
      <xdr:rowOff>76200</xdr:rowOff>
    </xdr:from>
    <xdr:to>
      <xdr:col>5</xdr:col>
      <xdr:colOff>247650</xdr:colOff>
      <xdr:row>280</xdr:row>
      <xdr:rowOff>57150</xdr:rowOff>
    </xdr:to>
    <xdr:cxnSp macro="">
      <xdr:nvCxnSpPr>
        <xdr:cNvPr id="242" name="Straight Arrow Connector 241"/>
        <xdr:cNvCxnSpPr/>
      </xdr:nvCxnSpPr>
      <xdr:spPr>
        <a:xfrm>
          <a:off x="3248025" y="55225950"/>
          <a:ext cx="0" cy="6286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260658</xdr:colOff>
      <xdr:row>420</xdr:row>
      <xdr:rowOff>44682</xdr:rowOff>
    </xdr:from>
    <xdr:to>
      <xdr:col>5</xdr:col>
      <xdr:colOff>136833</xdr:colOff>
      <xdr:row>423</xdr:row>
      <xdr:rowOff>44682</xdr:rowOff>
    </xdr:to>
    <xdr:grpSp>
      <xdr:nvGrpSpPr>
        <xdr:cNvPr id="257" name="Group 256"/>
        <xdr:cNvGrpSpPr/>
      </xdr:nvGrpSpPr>
      <xdr:grpSpPr>
        <a:xfrm>
          <a:off x="2729538" y="74393022"/>
          <a:ext cx="493395" cy="525780"/>
          <a:chOff x="2743200" y="22860000"/>
          <a:chExt cx="476250" cy="485775"/>
        </a:xfrm>
      </xdr:grpSpPr>
      <xdr:sp macro="" textlink="">
        <xdr:nvSpPr>
          <xdr:cNvPr id="258" name="Oval 257"/>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59" name="Straight Connector 258"/>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0" name="Straight Connector 259"/>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393388</xdr:colOff>
      <xdr:row>418</xdr:row>
      <xdr:rowOff>6804</xdr:rowOff>
    </xdr:from>
    <xdr:to>
      <xdr:col>2</xdr:col>
      <xdr:colOff>269563</xdr:colOff>
      <xdr:row>421</xdr:row>
      <xdr:rowOff>6804</xdr:rowOff>
    </xdr:to>
    <xdr:grpSp>
      <xdr:nvGrpSpPr>
        <xdr:cNvPr id="261" name="Group 260"/>
        <xdr:cNvGrpSpPr/>
      </xdr:nvGrpSpPr>
      <xdr:grpSpPr>
        <a:xfrm rot="-600000">
          <a:off x="1010608" y="74004624"/>
          <a:ext cx="493395" cy="525780"/>
          <a:chOff x="993463" y="60757254"/>
          <a:chExt cx="476250" cy="485775"/>
        </a:xfrm>
      </xdr:grpSpPr>
      <xdr:sp macro="" textlink="">
        <xdr:nvSpPr>
          <xdr:cNvPr id="262" name="Oval 261"/>
          <xdr:cNvSpPr/>
        </xdr:nvSpPr>
        <xdr:spPr>
          <a:xfrm rot="600000">
            <a:off x="1117288" y="60885841"/>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63" name="Straight Connector 262"/>
          <xdr:cNvCxnSpPr/>
        </xdr:nvCxnSpPr>
        <xdr:spPr>
          <a:xfrm rot="600000">
            <a:off x="1231588" y="60757254"/>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4" name="Straight Connector 263"/>
          <xdr:cNvCxnSpPr/>
        </xdr:nvCxnSpPr>
        <xdr:spPr>
          <a:xfrm rot="600000">
            <a:off x="993463" y="61000141"/>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145375</xdr:colOff>
      <xdr:row>416</xdr:row>
      <xdr:rowOff>149639</xdr:rowOff>
    </xdr:from>
    <xdr:to>
      <xdr:col>4</xdr:col>
      <xdr:colOff>364450</xdr:colOff>
      <xdr:row>418</xdr:row>
      <xdr:rowOff>49246</xdr:rowOff>
    </xdr:to>
    <xdr:grpSp>
      <xdr:nvGrpSpPr>
        <xdr:cNvPr id="265" name="Group 264"/>
        <xdr:cNvGrpSpPr/>
      </xdr:nvGrpSpPr>
      <xdr:grpSpPr>
        <a:xfrm>
          <a:off x="2614255" y="73796939"/>
          <a:ext cx="219075" cy="250127"/>
          <a:chOff x="2743200" y="22860000"/>
          <a:chExt cx="476250" cy="485775"/>
        </a:xfrm>
      </xdr:grpSpPr>
      <xdr:sp macro="" textlink="">
        <xdr:nvSpPr>
          <xdr:cNvPr id="266" name="Oval 265"/>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67" name="Straight Connector 266"/>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8" name="Straight Connector 267"/>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61713</xdr:colOff>
      <xdr:row>421</xdr:row>
      <xdr:rowOff>25219</xdr:rowOff>
    </xdr:from>
    <xdr:to>
      <xdr:col>4</xdr:col>
      <xdr:colOff>269462</xdr:colOff>
      <xdr:row>422</xdr:row>
      <xdr:rowOff>103103</xdr:rowOff>
    </xdr:to>
    <xdr:sp macro="" textlink="">
      <xdr:nvSpPr>
        <xdr:cNvPr id="269" name="TextBox 268"/>
        <xdr:cNvSpPr txBox="1"/>
      </xdr:nvSpPr>
      <xdr:spPr>
        <a:xfrm rot="600000">
          <a:off x="2462013" y="80187619"/>
          <a:ext cx="20774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Times New Roman" pitchFamily="18" charset="0"/>
              <a:cs typeface="Times New Roman" pitchFamily="18" charset="0"/>
            </a:rPr>
            <a:t>'</a:t>
          </a:r>
        </a:p>
      </xdr:txBody>
    </xdr:sp>
    <xdr:clientData/>
  </xdr:twoCellAnchor>
  <xdr:twoCellAnchor>
    <xdr:from>
      <xdr:col>0</xdr:col>
      <xdr:colOff>514350</xdr:colOff>
      <xdr:row>422</xdr:row>
      <xdr:rowOff>85725</xdr:rowOff>
    </xdr:from>
    <xdr:to>
      <xdr:col>9</xdr:col>
      <xdr:colOff>457200</xdr:colOff>
      <xdr:row>422</xdr:row>
      <xdr:rowOff>85725</xdr:rowOff>
    </xdr:to>
    <xdr:cxnSp macro="">
      <xdr:nvCxnSpPr>
        <xdr:cNvPr id="270" name="Straight Connector 269"/>
        <xdr:cNvCxnSpPr/>
      </xdr:nvCxnSpPr>
      <xdr:spPr>
        <a:xfrm>
          <a:off x="514350" y="80410050"/>
          <a:ext cx="534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413</xdr:row>
      <xdr:rowOff>28575</xdr:rowOff>
    </xdr:from>
    <xdr:to>
      <xdr:col>0</xdr:col>
      <xdr:colOff>200025</xdr:colOff>
      <xdr:row>426</xdr:row>
      <xdr:rowOff>19050</xdr:rowOff>
    </xdr:to>
    <xdr:cxnSp macro="">
      <xdr:nvCxnSpPr>
        <xdr:cNvPr id="271" name="Straight Connector 270"/>
        <xdr:cNvCxnSpPr/>
      </xdr:nvCxnSpPr>
      <xdr:spPr>
        <a:xfrm>
          <a:off x="200025" y="78895575"/>
          <a:ext cx="0"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423</xdr:row>
      <xdr:rowOff>104775</xdr:rowOff>
    </xdr:from>
    <xdr:to>
      <xdr:col>4</xdr:col>
      <xdr:colOff>504825</xdr:colOff>
      <xdr:row>426</xdr:row>
      <xdr:rowOff>0</xdr:rowOff>
    </xdr:to>
    <xdr:cxnSp macro="">
      <xdr:nvCxnSpPr>
        <xdr:cNvPr id="272" name="Straight Connector 271"/>
        <xdr:cNvCxnSpPr/>
      </xdr:nvCxnSpPr>
      <xdr:spPr>
        <a:xfrm>
          <a:off x="2905125" y="80591025"/>
          <a:ext cx="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424</xdr:row>
      <xdr:rowOff>142875</xdr:rowOff>
    </xdr:from>
    <xdr:to>
      <xdr:col>4</xdr:col>
      <xdr:colOff>504825</xdr:colOff>
      <xdr:row>424</xdr:row>
      <xdr:rowOff>142875</xdr:rowOff>
    </xdr:to>
    <xdr:cxnSp macro="">
      <xdr:nvCxnSpPr>
        <xdr:cNvPr id="273" name="Straight Arrow Connector 272"/>
        <xdr:cNvCxnSpPr/>
      </xdr:nvCxnSpPr>
      <xdr:spPr>
        <a:xfrm>
          <a:off x="200025" y="80791050"/>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412</xdr:row>
      <xdr:rowOff>152400</xdr:rowOff>
    </xdr:from>
    <xdr:to>
      <xdr:col>4</xdr:col>
      <xdr:colOff>257175</xdr:colOff>
      <xdr:row>416</xdr:row>
      <xdr:rowOff>66675</xdr:rowOff>
    </xdr:to>
    <xdr:cxnSp macro="">
      <xdr:nvCxnSpPr>
        <xdr:cNvPr id="274" name="Straight Connector 273"/>
        <xdr:cNvCxnSpPr/>
      </xdr:nvCxnSpPr>
      <xdr:spPr>
        <a:xfrm>
          <a:off x="2657475" y="7885747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414</xdr:row>
      <xdr:rowOff>47625</xdr:rowOff>
    </xdr:from>
    <xdr:to>
      <xdr:col>4</xdr:col>
      <xdr:colOff>266700</xdr:colOff>
      <xdr:row>414</xdr:row>
      <xdr:rowOff>47625</xdr:rowOff>
    </xdr:to>
    <xdr:cxnSp macro="">
      <xdr:nvCxnSpPr>
        <xdr:cNvPr id="275" name="Straight Arrow Connector 274"/>
        <xdr:cNvCxnSpPr/>
      </xdr:nvCxnSpPr>
      <xdr:spPr>
        <a:xfrm>
          <a:off x="209550" y="79076550"/>
          <a:ext cx="24574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260658</xdr:colOff>
      <xdr:row>443</xdr:row>
      <xdr:rowOff>44682</xdr:rowOff>
    </xdr:from>
    <xdr:to>
      <xdr:col>5</xdr:col>
      <xdr:colOff>136833</xdr:colOff>
      <xdr:row>446</xdr:row>
      <xdr:rowOff>44682</xdr:rowOff>
    </xdr:to>
    <xdr:grpSp>
      <xdr:nvGrpSpPr>
        <xdr:cNvPr id="290" name="Group 289"/>
        <xdr:cNvGrpSpPr/>
      </xdr:nvGrpSpPr>
      <xdr:grpSpPr>
        <a:xfrm>
          <a:off x="2729538" y="78469722"/>
          <a:ext cx="493395" cy="525780"/>
          <a:chOff x="2743200" y="22860000"/>
          <a:chExt cx="476250" cy="485775"/>
        </a:xfrm>
      </xdr:grpSpPr>
      <xdr:sp macro="" textlink="">
        <xdr:nvSpPr>
          <xdr:cNvPr id="291" name="Oval 290"/>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92" name="Straight Connector 291"/>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3" name="Straight Connector 292"/>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393388</xdr:colOff>
      <xdr:row>441</xdr:row>
      <xdr:rowOff>6804</xdr:rowOff>
    </xdr:from>
    <xdr:to>
      <xdr:col>2</xdr:col>
      <xdr:colOff>269563</xdr:colOff>
      <xdr:row>444</xdr:row>
      <xdr:rowOff>6804</xdr:rowOff>
    </xdr:to>
    <xdr:grpSp>
      <xdr:nvGrpSpPr>
        <xdr:cNvPr id="294" name="Group 293"/>
        <xdr:cNvGrpSpPr/>
      </xdr:nvGrpSpPr>
      <xdr:grpSpPr>
        <a:xfrm rot="-600000">
          <a:off x="1010608" y="78081324"/>
          <a:ext cx="493395" cy="525780"/>
          <a:chOff x="993463" y="60757254"/>
          <a:chExt cx="476250" cy="485775"/>
        </a:xfrm>
      </xdr:grpSpPr>
      <xdr:sp macro="" textlink="">
        <xdr:nvSpPr>
          <xdr:cNvPr id="295" name="Oval 294"/>
          <xdr:cNvSpPr/>
        </xdr:nvSpPr>
        <xdr:spPr>
          <a:xfrm rot="600000">
            <a:off x="1117288" y="60885841"/>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96" name="Straight Connector 295"/>
          <xdr:cNvCxnSpPr/>
        </xdr:nvCxnSpPr>
        <xdr:spPr>
          <a:xfrm rot="600000">
            <a:off x="1231588" y="60757254"/>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7" name="Straight Connector 296"/>
          <xdr:cNvCxnSpPr/>
        </xdr:nvCxnSpPr>
        <xdr:spPr>
          <a:xfrm rot="600000">
            <a:off x="993463" y="61000141"/>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145375</xdr:colOff>
      <xdr:row>439</xdr:row>
      <xdr:rowOff>149639</xdr:rowOff>
    </xdr:from>
    <xdr:to>
      <xdr:col>4</xdr:col>
      <xdr:colOff>364450</xdr:colOff>
      <xdr:row>441</xdr:row>
      <xdr:rowOff>49246</xdr:rowOff>
    </xdr:to>
    <xdr:grpSp>
      <xdr:nvGrpSpPr>
        <xdr:cNvPr id="298" name="Group 297"/>
        <xdr:cNvGrpSpPr/>
      </xdr:nvGrpSpPr>
      <xdr:grpSpPr>
        <a:xfrm>
          <a:off x="2614255" y="77873639"/>
          <a:ext cx="219075" cy="250127"/>
          <a:chOff x="2743200" y="22860000"/>
          <a:chExt cx="476250" cy="485775"/>
        </a:xfrm>
      </xdr:grpSpPr>
      <xdr:sp macro="" textlink="">
        <xdr:nvSpPr>
          <xdr:cNvPr id="299" name="Oval 298"/>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00" name="Straight Connector 299"/>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1" name="Straight Connector 300"/>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61713</xdr:colOff>
      <xdr:row>444</xdr:row>
      <xdr:rowOff>25219</xdr:rowOff>
    </xdr:from>
    <xdr:to>
      <xdr:col>4</xdr:col>
      <xdr:colOff>269462</xdr:colOff>
      <xdr:row>445</xdr:row>
      <xdr:rowOff>103103</xdr:rowOff>
    </xdr:to>
    <xdr:sp macro="" textlink="">
      <xdr:nvSpPr>
        <xdr:cNvPr id="302" name="TextBox 301"/>
        <xdr:cNvSpPr txBox="1"/>
      </xdr:nvSpPr>
      <xdr:spPr>
        <a:xfrm rot="600000">
          <a:off x="2462013" y="84388144"/>
          <a:ext cx="20774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Times New Roman" pitchFamily="18" charset="0"/>
              <a:cs typeface="Times New Roman" pitchFamily="18" charset="0"/>
            </a:rPr>
            <a:t>'</a:t>
          </a:r>
        </a:p>
      </xdr:txBody>
    </xdr:sp>
    <xdr:clientData/>
  </xdr:twoCellAnchor>
  <xdr:twoCellAnchor>
    <xdr:from>
      <xdr:col>0</xdr:col>
      <xdr:colOff>514350</xdr:colOff>
      <xdr:row>445</xdr:row>
      <xdr:rowOff>85725</xdr:rowOff>
    </xdr:from>
    <xdr:to>
      <xdr:col>9</xdr:col>
      <xdr:colOff>457200</xdr:colOff>
      <xdr:row>445</xdr:row>
      <xdr:rowOff>85725</xdr:rowOff>
    </xdr:to>
    <xdr:cxnSp macro="">
      <xdr:nvCxnSpPr>
        <xdr:cNvPr id="303" name="Straight Connector 302"/>
        <xdr:cNvCxnSpPr/>
      </xdr:nvCxnSpPr>
      <xdr:spPr>
        <a:xfrm>
          <a:off x="514350" y="84610575"/>
          <a:ext cx="534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436</xdr:row>
      <xdr:rowOff>28575</xdr:rowOff>
    </xdr:from>
    <xdr:to>
      <xdr:col>0</xdr:col>
      <xdr:colOff>200025</xdr:colOff>
      <xdr:row>449</xdr:row>
      <xdr:rowOff>19050</xdr:rowOff>
    </xdr:to>
    <xdr:cxnSp macro="">
      <xdr:nvCxnSpPr>
        <xdr:cNvPr id="304" name="Straight Connector 303"/>
        <xdr:cNvCxnSpPr/>
      </xdr:nvCxnSpPr>
      <xdr:spPr>
        <a:xfrm>
          <a:off x="200025" y="83096100"/>
          <a:ext cx="0"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446</xdr:row>
      <xdr:rowOff>104775</xdr:rowOff>
    </xdr:from>
    <xdr:to>
      <xdr:col>4</xdr:col>
      <xdr:colOff>504825</xdr:colOff>
      <xdr:row>449</xdr:row>
      <xdr:rowOff>0</xdr:rowOff>
    </xdr:to>
    <xdr:cxnSp macro="">
      <xdr:nvCxnSpPr>
        <xdr:cNvPr id="305" name="Straight Connector 304"/>
        <xdr:cNvCxnSpPr/>
      </xdr:nvCxnSpPr>
      <xdr:spPr>
        <a:xfrm>
          <a:off x="2905125" y="84791550"/>
          <a:ext cx="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447</xdr:row>
      <xdr:rowOff>142875</xdr:rowOff>
    </xdr:from>
    <xdr:to>
      <xdr:col>4</xdr:col>
      <xdr:colOff>504825</xdr:colOff>
      <xdr:row>447</xdr:row>
      <xdr:rowOff>142875</xdr:rowOff>
    </xdr:to>
    <xdr:cxnSp macro="">
      <xdr:nvCxnSpPr>
        <xdr:cNvPr id="306" name="Straight Arrow Connector 305"/>
        <xdr:cNvCxnSpPr/>
      </xdr:nvCxnSpPr>
      <xdr:spPr>
        <a:xfrm>
          <a:off x="200025" y="84991575"/>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435</xdr:row>
      <xdr:rowOff>152400</xdr:rowOff>
    </xdr:from>
    <xdr:to>
      <xdr:col>4</xdr:col>
      <xdr:colOff>257175</xdr:colOff>
      <xdr:row>439</xdr:row>
      <xdr:rowOff>66675</xdr:rowOff>
    </xdr:to>
    <xdr:cxnSp macro="">
      <xdr:nvCxnSpPr>
        <xdr:cNvPr id="307" name="Straight Connector 306"/>
        <xdr:cNvCxnSpPr/>
      </xdr:nvCxnSpPr>
      <xdr:spPr>
        <a:xfrm>
          <a:off x="2657475" y="83058000"/>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437</xdr:row>
      <xdr:rowOff>47625</xdr:rowOff>
    </xdr:from>
    <xdr:to>
      <xdr:col>4</xdr:col>
      <xdr:colOff>266700</xdr:colOff>
      <xdr:row>437</xdr:row>
      <xdr:rowOff>47625</xdr:rowOff>
    </xdr:to>
    <xdr:cxnSp macro="">
      <xdr:nvCxnSpPr>
        <xdr:cNvPr id="308" name="Straight Arrow Connector 307"/>
        <xdr:cNvCxnSpPr/>
      </xdr:nvCxnSpPr>
      <xdr:spPr>
        <a:xfrm>
          <a:off x="209550" y="83277075"/>
          <a:ext cx="24574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260658</xdr:colOff>
      <xdr:row>473</xdr:row>
      <xdr:rowOff>44682</xdr:rowOff>
    </xdr:from>
    <xdr:to>
      <xdr:col>5</xdr:col>
      <xdr:colOff>136833</xdr:colOff>
      <xdr:row>476</xdr:row>
      <xdr:rowOff>44682</xdr:rowOff>
    </xdr:to>
    <xdr:grpSp>
      <xdr:nvGrpSpPr>
        <xdr:cNvPr id="323" name="Group 322"/>
        <xdr:cNvGrpSpPr/>
      </xdr:nvGrpSpPr>
      <xdr:grpSpPr>
        <a:xfrm>
          <a:off x="2729538" y="83765622"/>
          <a:ext cx="493395" cy="525780"/>
          <a:chOff x="2743200" y="22860000"/>
          <a:chExt cx="476250" cy="485775"/>
        </a:xfrm>
      </xdr:grpSpPr>
      <xdr:sp macro="" textlink="">
        <xdr:nvSpPr>
          <xdr:cNvPr id="324" name="Oval 323"/>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25" name="Straight Connector 324"/>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6" name="Straight Connector 325"/>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393388</xdr:colOff>
      <xdr:row>471</xdr:row>
      <xdr:rowOff>6804</xdr:rowOff>
    </xdr:from>
    <xdr:to>
      <xdr:col>2</xdr:col>
      <xdr:colOff>269563</xdr:colOff>
      <xdr:row>474</xdr:row>
      <xdr:rowOff>6804</xdr:rowOff>
    </xdr:to>
    <xdr:grpSp>
      <xdr:nvGrpSpPr>
        <xdr:cNvPr id="327" name="Group 326"/>
        <xdr:cNvGrpSpPr/>
      </xdr:nvGrpSpPr>
      <xdr:grpSpPr>
        <a:xfrm rot="-600000">
          <a:off x="1010608" y="83377224"/>
          <a:ext cx="493395" cy="525780"/>
          <a:chOff x="993463" y="60757254"/>
          <a:chExt cx="476250" cy="485775"/>
        </a:xfrm>
      </xdr:grpSpPr>
      <xdr:sp macro="" textlink="">
        <xdr:nvSpPr>
          <xdr:cNvPr id="328" name="Oval 327"/>
          <xdr:cNvSpPr/>
        </xdr:nvSpPr>
        <xdr:spPr>
          <a:xfrm rot="600000">
            <a:off x="1117288" y="60885841"/>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29" name="Straight Connector 328"/>
          <xdr:cNvCxnSpPr/>
        </xdr:nvCxnSpPr>
        <xdr:spPr>
          <a:xfrm rot="600000">
            <a:off x="1231588" y="60757254"/>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0" name="Straight Connector 329"/>
          <xdr:cNvCxnSpPr/>
        </xdr:nvCxnSpPr>
        <xdr:spPr>
          <a:xfrm rot="600000">
            <a:off x="993463" y="61000141"/>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145375</xdr:colOff>
      <xdr:row>469</xdr:row>
      <xdr:rowOff>149639</xdr:rowOff>
    </xdr:from>
    <xdr:to>
      <xdr:col>4</xdr:col>
      <xdr:colOff>364450</xdr:colOff>
      <xdr:row>471</xdr:row>
      <xdr:rowOff>49246</xdr:rowOff>
    </xdr:to>
    <xdr:grpSp>
      <xdr:nvGrpSpPr>
        <xdr:cNvPr id="331" name="Group 330"/>
        <xdr:cNvGrpSpPr/>
      </xdr:nvGrpSpPr>
      <xdr:grpSpPr>
        <a:xfrm>
          <a:off x="2614255" y="83169539"/>
          <a:ext cx="219075" cy="250127"/>
          <a:chOff x="2743200" y="22860000"/>
          <a:chExt cx="476250" cy="485775"/>
        </a:xfrm>
      </xdr:grpSpPr>
      <xdr:sp macro="" textlink="">
        <xdr:nvSpPr>
          <xdr:cNvPr id="332" name="Oval 331"/>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33" name="Straight Connector 332"/>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4" name="Straight Connector 333"/>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61713</xdr:colOff>
      <xdr:row>474</xdr:row>
      <xdr:rowOff>25219</xdr:rowOff>
    </xdr:from>
    <xdr:to>
      <xdr:col>4</xdr:col>
      <xdr:colOff>269462</xdr:colOff>
      <xdr:row>475</xdr:row>
      <xdr:rowOff>103103</xdr:rowOff>
    </xdr:to>
    <xdr:sp macro="" textlink="">
      <xdr:nvSpPr>
        <xdr:cNvPr id="335" name="TextBox 334"/>
        <xdr:cNvSpPr txBox="1"/>
      </xdr:nvSpPr>
      <xdr:spPr>
        <a:xfrm rot="600000">
          <a:off x="2462013" y="88836319"/>
          <a:ext cx="20774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Times New Roman" pitchFamily="18" charset="0"/>
              <a:cs typeface="Times New Roman" pitchFamily="18" charset="0"/>
            </a:rPr>
            <a:t>'</a:t>
          </a:r>
        </a:p>
      </xdr:txBody>
    </xdr:sp>
    <xdr:clientData/>
  </xdr:twoCellAnchor>
  <xdr:twoCellAnchor>
    <xdr:from>
      <xdr:col>0</xdr:col>
      <xdr:colOff>514350</xdr:colOff>
      <xdr:row>475</xdr:row>
      <xdr:rowOff>85725</xdr:rowOff>
    </xdr:from>
    <xdr:to>
      <xdr:col>9</xdr:col>
      <xdr:colOff>457200</xdr:colOff>
      <xdr:row>475</xdr:row>
      <xdr:rowOff>85725</xdr:rowOff>
    </xdr:to>
    <xdr:cxnSp macro="">
      <xdr:nvCxnSpPr>
        <xdr:cNvPr id="336" name="Straight Connector 335"/>
        <xdr:cNvCxnSpPr/>
      </xdr:nvCxnSpPr>
      <xdr:spPr>
        <a:xfrm>
          <a:off x="514350" y="89058750"/>
          <a:ext cx="534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466</xdr:row>
      <xdr:rowOff>28575</xdr:rowOff>
    </xdr:from>
    <xdr:to>
      <xdr:col>0</xdr:col>
      <xdr:colOff>200025</xdr:colOff>
      <xdr:row>479</xdr:row>
      <xdr:rowOff>19050</xdr:rowOff>
    </xdr:to>
    <xdr:cxnSp macro="">
      <xdr:nvCxnSpPr>
        <xdr:cNvPr id="337" name="Straight Connector 336"/>
        <xdr:cNvCxnSpPr/>
      </xdr:nvCxnSpPr>
      <xdr:spPr>
        <a:xfrm>
          <a:off x="200025" y="87544275"/>
          <a:ext cx="0"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476</xdr:row>
      <xdr:rowOff>104775</xdr:rowOff>
    </xdr:from>
    <xdr:to>
      <xdr:col>4</xdr:col>
      <xdr:colOff>504825</xdr:colOff>
      <xdr:row>479</xdr:row>
      <xdr:rowOff>0</xdr:rowOff>
    </xdr:to>
    <xdr:cxnSp macro="">
      <xdr:nvCxnSpPr>
        <xdr:cNvPr id="338" name="Straight Connector 337"/>
        <xdr:cNvCxnSpPr/>
      </xdr:nvCxnSpPr>
      <xdr:spPr>
        <a:xfrm>
          <a:off x="2905125" y="89239725"/>
          <a:ext cx="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477</xdr:row>
      <xdr:rowOff>142875</xdr:rowOff>
    </xdr:from>
    <xdr:to>
      <xdr:col>4</xdr:col>
      <xdr:colOff>504825</xdr:colOff>
      <xdr:row>477</xdr:row>
      <xdr:rowOff>142875</xdr:rowOff>
    </xdr:to>
    <xdr:cxnSp macro="">
      <xdr:nvCxnSpPr>
        <xdr:cNvPr id="339" name="Straight Arrow Connector 338"/>
        <xdr:cNvCxnSpPr/>
      </xdr:nvCxnSpPr>
      <xdr:spPr>
        <a:xfrm>
          <a:off x="200025" y="89439750"/>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465</xdr:row>
      <xdr:rowOff>152400</xdr:rowOff>
    </xdr:from>
    <xdr:to>
      <xdr:col>4</xdr:col>
      <xdr:colOff>257175</xdr:colOff>
      <xdr:row>469</xdr:row>
      <xdr:rowOff>66675</xdr:rowOff>
    </xdr:to>
    <xdr:cxnSp macro="">
      <xdr:nvCxnSpPr>
        <xdr:cNvPr id="340" name="Straight Connector 339"/>
        <xdr:cNvCxnSpPr/>
      </xdr:nvCxnSpPr>
      <xdr:spPr>
        <a:xfrm>
          <a:off x="2657475" y="8750617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467</xdr:row>
      <xdr:rowOff>47625</xdr:rowOff>
    </xdr:from>
    <xdr:to>
      <xdr:col>4</xdr:col>
      <xdr:colOff>266700</xdr:colOff>
      <xdr:row>467</xdr:row>
      <xdr:rowOff>47625</xdr:rowOff>
    </xdr:to>
    <xdr:cxnSp macro="">
      <xdr:nvCxnSpPr>
        <xdr:cNvPr id="341" name="Straight Arrow Connector 340"/>
        <xdr:cNvCxnSpPr/>
      </xdr:nvCxnSpPr>
      <xdr:spPr>
        <a:xfrm>
          <a:off x="209550" y="87725250"/>
          <a:ext cx="24574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260658</xdr:colOff>
      <xdr:row>498</xdr:row>
      <xdr:rowOff>44682</xdr:rowOff>
    </xdr:from>
    <xdr:to>
      <xdr:col>5</xdr:col>
      <xdr:colOff>136833</xdr:colOff>
      <xdr:row>501</xdr:row>
      <xdr:rowOff>44682</xdr:rowOff>
    </xdr:to>
    <xdr:grpSp>
      <xdr:nvGrpSpPr>
        <xdr:cNvPr id="356" name="Group 355"/>
        <xdr:cNvGrpSpPr/>
      </xdr:nvGrpSpPr>
      <xdr:grpSpPr>
        <a:xfrm>
          <a:off x="2729538" y="88192842"/>
          <a:ext cx="493395" cy="525780"/>
          <a:chOff x="2743200" y="22860000"/>
          <a:chExt cx="476250" cy="485775"/>
        </a:xfrm>
      </xdr:grpSpPr>
      <xdr:sp macro="" textlink="">
        <xdr:nvSpPr>
          <xdr:cNvPr id="357" name="Oval 356"/>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58" name="Straight Connector 357"/>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9" name="Straight Connector 358"/>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393388</xdr:colOff>
      <xdr:row>496</xdr:row>
      <xdr:rowOff>6804</xdr:rowOff>
    </xdr:from>
    <xdr:to>
      <xdr:col>2</xdr:col>
      <xdr:colOff>269563</xdr:colOff>
      <xdr:row>499</xdr:row>
      <xdr:rowOff>6804</xdr:rowOff>
    </xdr:to>
    <xdr:grpSp>
      <xdr:nvGrpSpPr>
        <xdr:cNvPr id="360" name="Group 359"/>
        <xdr:cNvGrpSpPr/>
      </xdr:nvGrpSpPr>
      <xdr:grpSpPr>
        <a:xfrm rot="-600000">
          <a:off x="1010608" y="87804444"/>
          <a:ext cx="493395" cy="525780"/>
          <a:chOff x="993463" y="60757254"/>
          <a:chExt cx="476250" cy="485775"/>
        </a:xfrm>
      </xdr:grpSpPr>
      <xdr:sp macro="" textlink="">
        <xdr:nvSpPr>
          <xdr:cNvPr id="361" name="Oval 360"/>
          <xdr:cNvSpPr/>
        </xdr:nvSpPr>
        <xdr:spPr>
          <a:xfrm rot="600000">
            <a:off x="1117288" y="60885841"/>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62" name="Straight Connector 361"/>
          <xdr:cNvCxnSpPr/>
        </xdr:nvCxnSpPr>
        <xdr:spPr>
          <a:xfrm rot="600000">
            <a:off x="1231588" y="60757254"/>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3" name="Straight Connector 362"/>
          <xdr:cNvCxnSpPr/>
        </xdr:nvCxnSpPr>
        <xdr:spPr>
          <a:xfrm rot="600000">
            <a:off x="993463" y="61000141"/>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145375</xdr:colOff>
      <xdr:row>494</xdr:row>
      <xdr:rowOff>149639</xdr:rowOff>
    </xdr:from>
    <xdr:to>
      <xdr:col>4</xdr:col>
      <xdr:colOff>364450</xdr:colOff>
      <xdr:row>496</xdr:row>
      <xdr:rowOff>49246</xdr:rowOff>
    </xdr:to>
    <xdr:grpSp>
      <xdr:nvGrpSpPr>
        <xdr:cNvPr id="364" name="Group 363"/>
        <xdr:cNvGrpSpPr/>
      </xdr:nvGrpSpPr>
      <xdr:grpSpPr>
        <a:xfrm>
          <a:off x="2614255" y="87596759"/>
          <a:ext cx="219075" cy="250127"/>
          <a:chOff x="2743200" y="22860000"/>
          <a:chExt cx="476250" cy="485775"/>
        </a:xfrm>
      </xdr:grpSpPr>
      <xdr:sp macro="" textlink="">
        <xdr:nvSpPr>
          <xdr:cNvPr id="365" name="Oval 364"/>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66" name="Straight Connector 365"/>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7" name="Straight Connector 366"/>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61713</xdr:colOff>
      <xdr:row>499</xdr:row>
      <xdr:rowOff>25219</xdr:rowOff>
    </xdr:from>
    <xdr:to>
      <xdr:col>4</xdr:col>
      <xdr:colOff>269462</xdr:colOff>
      <xdr:row>500</xdr:row>
      <xdr:rowOff>103103</xdr:rowOff>
    </xdr:to>
    <xdr:sp macro="" textlink="">
      <xdr:nvSpPr>
        <xdr:cNvPr id="368" name="TextBox 367"/>
        <xdr:cNvSpPr txBox="1"/>
      </xdr:nvSpPr>
      <xdr:spPr>
        <a:xfrm rot="600000">
          <a:off x="2462013" y="93027319"/>
          <a:ext cx="20774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Times New Roman" pitchFamily="18" charset="0"/>
              <a:cs typeface="Times New Roman" pitchFamily="18" charset="0"/>
            </a:rPr>
            <a:t>'</a:t>
          </a:r>
        </a:p>
      </xdr:txBody>
    </xdr:sp>
    <xdr:clientData/>
  </xdr:twoCellAnchor>
  <xdr:twoCellAnchor>
    <xdr:from>
      <xdr:col>0</xdr:col>
      <xdr:colOff>514350</xdr:colOff>
      <xdr:row>500</xdr:row>
      <xdr:rowOff>85725</xdr:rowOff>
    </xdr:from>
    <xdr:to>
      <xdr:col>9</xdr:col>
      <xdr:colOff>457200</xdr:colOff>
      <xdr:row>500</xdr:row>
      <xdr:rowOff>85725</xdr:rowOff>
    </xdr:to>
    <xdr:cxnSp macro="">
      <xdr:nvCxnSpPr>
        <xdr:cNvPr id="369" name="Straight Connector 368"/>
        <xdr:cNvCxnSpPr/>
      </xdr:nvCxnSpPr>
      <xdr:spPr>
        <a:xfrm>
          <a:off x="514350" y="93249750"/>
          <a:ext cx="534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491</xdr:row>
      <xdr:rowOff>28575</xdr:rowOff>
    </xdr:from>
    <xdr:to>
      <xdr:col>0</xdr:col>
      <xdr:colOff>200025</xdr:colOff>
      <xdr:row>504</xdr:row>
      <xdr:rowOff>19050</xdr:rowOff>
    </xdr:to>
    <xdr:cxnSp macro="">
      <xdr:nvCxnSpPr>
        <xdr:cNvPr id="370" name="Straight Connector 369"/>
        <xdr:cNvCxnSpPr/>
      </xdr:nvCxnSpPr>
      <xdr:spPr>
        <a:xfrm>
          <a:off x="200025" y="91735275"/>
          <a:ext cx="0"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501</xdr:row>
      <xdr:rowOff>104775</xdr:rowOff>
    </xdr:from>
    <xdr:to>
      <xdr:col>4</xdr:col>
      <xdr:colOff>504825</xdr:colOff>
      <xdr:row>504</xdr:row>
      <xdr:rowOff>0</xdr:rowOff>
    </xdr:to>
    <xdr:cxnSp macro="">
      <xdr:nvCxnSpPr>
        <xdr:cNvPr id="371" name="Straight Connector 370"/>
        <xdr:cNvCxnSpPr/>
      </xdr:nvCxnSpPr>
      <xdr:spPr>
        <a:xfrm>
          <a:off x="2905125" y="93430725"/>
          <a:ext cx="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502</xdr:row>
      <xdr:rowOff>142875</xdr:rowOff>
    </xdr:from>
    <xdr:to>
      <xdr:col>4</xdr:col>
      <xdr:colOff>504825</xdr:colOff>
      <xdr:row>502</xdr:row>
      <xdr:rowOff>142875</xdr:rowOff>
    </xdr:to>
    <xdr:cxnSp macro="">
      <xdr:nvCxnSpPr>
        <xdr:cNvPr id="372" name="Straight Arrow Connector 371"/>
        <xdr:cNvCxnSpPr/>
      </xdr:nvCxnSpPr>
      <xdr:spPr>
        <a:xfrm>
          <a:off x="200025" y="93630750"/>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490</xdr:row>
      <xdr:rowOff>152400</xdr:rowOff>
    </xdr:from>
    <xdr:to>
      <xdr:col>4</xdr:col>
      <xdr:colOff>257175</xdr:colOff>
      <xdr:row>494</xdr:row>
      <xdr:rowOff>66675</xdr:rowOff>
    </xdr:to>
    <xdr:cxnSp macro="">
      <xdr:nvCxnSpPr>
        <xdr:cNvPr id="373" name="Straight Connector 372"/>
        <xdr:cNvCxnSpPr/>
      </xdr:nvCxnSpPr>
      <xdr:spPr>
        <a:xfrm>
          <a:off x="2657475" y="9169717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492</xdr:row>
      <xdr:rowOff>47625</xdr:rowOff>
    </xdr:from>
    <xdr:to>
      <xdr:col>4</xdr:col>
      <xdr:colOff>266700</xdr:colOff>
      <xdr:row>492</xdr:row>
      <xdr:rowOff>47625</xdr:rowOff>
    </xdr:to>
    <xdr:cxnSp macro="">
      <xdr:nvCxnSpPr>
        <xdr:cNvPr id="374" name="Straight Arrow Connector 373"/>
        <xdr:cNvCxnSpPr/>
      </xdr:nvCxnSpPr>
      <xdr:spPr>
        <a:xfrm>
          <a:off x="209550" y="91916250"/>
          <a:ext cx="24574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561975</xdr:colOff>
      <xdr:row>140</xdr:row>
      <xdr:rowOff>42862</xdr:rowOff>
    </xdr:from>
    <xdr:to>
      <xdr:col>2</xdr:col>
      <xdr:colOff>190500</xdr:colOff>
      <xdr:row>141</xdr:row>
      <xdr:rowOff>109537</xdr:rowOff>
    </xdr:to>
    <xdr:sp macro="" textlink="">
      <xdr:nvSpPr>
        <xdr:cNvPr id="389" name="Oval 388"/>
        <xdr:cNvSpPr/>
      </xdr:nvSpPr>
      <xdr:spPr>
        <a:xfrm>
          <a:off x="1162050" y="32084962"/>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139</xdr:row>
      <xdr:rowOff>142875</xdr:rowOff>
    </xdr:from>
    <xdr:to>
      <xdr:col>5</xdr:col>
      <xdr:colOff>219075</xdr:colOff>
      <xdr:row>142</xdr:row>
      <xdr:rowOff>142875</xdr:rowOff>
    </xdr:to>
    <xdr:grpSp>
      <xdr:nvGrpSpPr>
        <xdr:cNvPr id="390" name="Group 389"/>
        <xdr:cNvGrpSpPr/>
      </xdr:nvGrpSpPr>
      <xdr:grpSpPr>
        <a:xfrm>
          <a:off x="2811780" y="24504015"/>
          <a:ext cx="493395" cy="525780"/>
          <a:chOff x="2743200" y="22860000"/>
          <a:chExt cx="476250" cy="485775"/>
        </a:xfrm>
      </xdr:grpSpPr>
      <xdr:sp macro="" textlink="">
        <xdr:nvSpPr>
          <xdr:cNvPr id="391" name="Oval 390"/>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92" name="Straight Connector 391"/>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3" name="Straight Connector 392"/>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139</xdr:row>
      <xdr:rowOff>76200</xdr:rowOff>
    </xdr:from>
    <xdr:to>
      <xdr:col>2</xdr:col>
      <xdr:colOff>76200</xdr:colOff>
      <xdr:row>142</xdr:row>
      <xdr:rowOff>76200</xdr:rowOff>
    </xdr:to>
    <xdr:cxnSp macro="">
      <xdr:nvCxnSpPr>
        <xdr:cNvPr id="394" name="Straight Connector 393"/>
        <xdr:cNvCxnSpPr/>
      </xdr:nvCxnSpPr>
      <xdr:spPr>
        <a:xfrm>
          <a:off x="1276350" y="31956375"/>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140</xdr:row>
      <xdr:rowOff>157162</xdr:rowOff>
    </xdr:from>
    <xdr:to>
      <xdr:col>2</xdr:col>
      <xdr:colOff>314325</xdr:colOff>
      <xdr:row>140</xdr:row>
      <xdr:rowOff>157162</xdr:rowOff>
    </xdr:to>
    <xdr:cxnSp macro="">
      <xdr:nvCxnSpPr>
        <xdr:cNvPr id="395" name="Straight Connector 394"/>
        <xdr:cNvCxnSpPr/>
      </xdr:nvCxnSpPr>
      <xdr:spPr>
        <a:xfrm>
          <a:off x="1038225" y="32199262"/>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133</xdr:row>
      <xdr:rowOff>104775</xdr:rowOff>
    </xdr:from>
    <xdr:to>
      <xdr:col>0</xdr:col>
      <xdr:colOff>276225</xdr:colOff>
      <xdr:row>148</xdr:row>
      <xdr:rowOff>19050</xdr:rowOff>
    </xdr:to>
    <xdr:cxnSp macro="">
      <xdr:nvCxnSpPr>
        <xdr:cNvPr id="396" name="Straight Connector 395"/>
        <xdr:cNvCxnSpPr/>
      </xdr:nvCxnSpPr>
      <xdr:spPr>
        <a:xfrm>
          <a:off x="276225" y="31013400"/>
          <a:ext cx="0" cy="23431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142</xdr:row>
      <xdr:rowOff>114300</xdr:rowOff>
    </xdr:from>
    <xdr:to>
      <xdr:col>2</xdr:col>
      <xdr:colOff>76200</xdr:colOff>
      <xdr:row>146</xdr:row>
      <xdr:rowOff>95250</xdr:rowOff>
    </xdr:to>
    <xdr:cxnSp macro="">
      <xdr:nvCxnSpPr>
        <xdr:cNvPr id="397" name="Straight Connector 396"/>
        <xdr:cNvCxnSpPr/>
      </xdr:nvCxnSpPr>
      <xdr:spPr>
        <a:xfrm>
          <a:off x="1276350" y="32480250"/>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143</xdr:row>
      <xdr:rowOff>38100</xdr:rowOff>
    </xdr:from>
    <xdr:to>
      <xdr:col>4</xdr:col>
      <xdr:colOff>581025</xdr:colOff>
      <xdr:row>148</xdr:row>
      <xdr:rowOff>152400</xdr:rowOff>
    </xdr:to>
    <xdr:cxnSp macro="">
      <xdr:nvCxnSpPr>
        <xdr:cNvPr id="398" name="Straight Connector 397"/>
        <xdr:cNvCxnSpPr/>
      </xdr:nvCxnSpPr>
      <xdr:spPr>
        <a:xfrm>
          <a:off x="2981325" y="32565975"/>
          <a:ext cx="0" cy="9239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145</xdr:row>
      <xdr:rowOff>133350</xdr:rowOff>
    </xdr:from>
    <xdr:to>
      <xdr:col>2</xdr:col>
      <xdr:colOff>76200</xdr:colOff>
      <xdr:row>145</xdr:row>
      <xdr:rowOff>133350</xdr:rowOff>
    </xdr:to>
    <xdr:cxnSp macro="">
      <xdr:nvCxnSpPr>
        <xdr:cNvPr id="399" name="Straight Arrow Connector 398"/>
        <xdr:cNvCxnSpPr/>
      </xdr:nvCxnSpPr>
      <xdr:spPr>
        <a:xfrm>
          <a:off x="276225" y="32985075"/>
          <a:ext cx="100012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148</xdr:row>
      <xdr:rowOff>9525</xdr:rowOff>
    </xdr:from>
    <xdr:to>
      <xdr:col>4</xdr:col>
      <xdr:colOff>581025</xdr:colOff>
      <xdr:row>148</xdr:row>
      <xdr:rowOff>9525</xdr:rowOff>
    </xdr:to>
    <xdr:cxnSp macro="">
      <xdr:nvCxnSpPr>
        <xdr:cNvPr id="400" name="Straight Arrow Connector 399"/>
        <xdr:cNvCxnSpPr/>
      </xdr:nvCxnSpPr>
      <xdr:spPr>
        <a:xfrm>
          <a:off x="276225" y="33347025"/>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136</xdr:row>
      <xdr:rowOff>138493</xdr:rowOff>
    </xdr:from>
    <xdr:to>
      <xdr:col>4</xdr:col>
      <xdr:colOff>333375</xdr:colOff>
      <xdr:row>138</xdr:row>
      <xdr:rowOff>38100</xdr:rowOff>
    </xdr:to>
    <xdr:grpSp>
      <xdr:nvGrpSpPr>
        <xdr:cNvPr id="401" name="Group 400"/>
        <xdr:cNvGrpSpPr/>
      </xdr:nvGrpSpPr>
      <xdr:grpSpPr>
        <a:xfrm>
          <a:off x="2583180" y="23973853"/>
          <a:ext cx="219075" cy="250127"/>
          <a:chOff x="2743200" y="22860000"/>
          <a:chExt cx="476250" cy="485775"/>
        </a:xfrm>
      </xdr:grpSpPr>
      <xdr:sp macro="" textlink="">
        <xdr:nvSpPr>
          <xdr:cNvPr id="402" name="Oval 401"/>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403" name="Straight Connector 402"/>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4" name="Straight Connector 403"/>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133</xdr:row>
      <xdr:rowOff>0</xdr:rowOff>
    </xdr:from>
    <xdr:to>
      <xdr:col>4</xdr:col>
      <xdr:colOff>228600</xdr:colOff>
      <xdr:row>136</xdr:row>
      <xdr:rowOff>76200</xdr:rowOff>
    </xdr:to>
    <xdr:cxnSp macro="">
      <xdr:nvCxnSpPr>
        <xdr:cNvPr id="405" name="Straight Connector 404"/>
        <xdr:cNvCxnSpPr/>
      </xdr:nvCxnSpPr>
      <xdr:spPr>
        <a:xfrm>
          <a:off x="2628900" y="3090862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134</xdr:row>
      <xdr:rowOff>0</xdr:rowOff>
    </xdr:from>
    <xdr:to>
      <xdr:col>4</xdr:col>
      <xdr:colOff>238125</xdr:colOff>
      <xdr:row>134</xdr:row>
      <xdr:rowOff>0</xdr:rowOff>
    </xdr:to>
    <xdr:cxnSp macro="">
      <xdr:nvCxnSpPr>
        <xdr:cNvPr id="406" name="Straight Arrow Connector 405"/>
        <xdr:cNvCxnSpPr/>
      </xdr:nvCxnSpPr>
      <xdr:spPr>
        <a:xfrm>
          <a:off x="285750" y="31070550"/>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91125</xdr:colOff>
      <xdr:row>145</xdr:row>
      <xdr:rowOff>137711</xdr:rowOff>
    </xdr:from>
    <xdr:to>
      <xdr:col>4</xdr:col>
      <xdr:colOff>585777</xdr:colOff>
      <xdr:row>145</xdr:row>
      <xdr:rowOff>137711</xdr:rowOff>
    </xdr:to>
    <xdr:cxnSp macro="">
      <xdr:nvCxnSpPr>
        <xdr:cNvPr id="407" name="Straight Connector 406"/>
        <xdr:cNvCxnSpPr/>
      </xdr:nvCxnSpPr>
      <xdr:spPr>
        <a:xfrm flipH="1">
          <a:off x="1291275" y="32989436"/>
          <a:ext cx="1694802" cy="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231190</xdr:colOff>
      <xdr:row>138</xdr:row>
      <xdr:rowOff>84250</xdr:rowOff>
    </xdr:from>
    <xdr:to>
      <xdr:col>4</xdr:col>
      <xdr:colOff>231190</xdr:colOff>
      <xdr:row>143</xdr:row>
      <xdr:rowOff>112006</xdr:rowOff>
    </xdr:to>
    <xdr:cxnSp macro="">
      <xdr:nvCxnSpPr>
        <xdr:cNvPr id="408" name="Straight Connector 407"/>
        <xdr:cNvCxnSpPr/>
      </xdr:nvCxnSpPr>
      <xdr:spPr>
        <a:xfrm>
          <a:off x="2631490" y="31802500"/>
          <a:ext cx="0" cy="8373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75741</xdr:colOff>
      <xdr:row>143</xdr:row>
      <xdr:rowOff>14251</xdr:rowOff>
    </xdr:from>
    <xdr:to>
      <xdr:col>4</xdr:col>
      <xdr:colOff>236566</xdr:colOff>
      <xdr:row>143</xdr:row>
      <xdr:rowOff>14251</xdr:rowOff>
    </xdr:to>
    <xdr:cxnSp macro="">
      <xdr:nvCxnSpPr>
        <xdr:cNvPr id="409" name="Straight Connector 408"/>
        <xdr:cNvCxnSpPr/>
      </xdr:nvCxnSpPr>
      <xdr:spPr>
        <a:xfrm flipH="1">
          <a:off x="1275891" y="32542126"/>
          <a:ext cx="1360975" cy="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227683</xdr:colOff>
      <xdr:row>143</xdr:row>
      <xdr:rowOff>10242</xdr:rowOff>
    </xdr:from>
    <xdr:to>
      <xdr:col>4</xdr:col>
      <xdr:colOff>578163</xdr:colOff>
      <xdr:row>143</xdr:row>
      <xdr:rowOff>10242</xdr:rowOff>
    </xdr:to>
    <xdr:cxnSp macro="">
      <xdr:nvCxnSpPr>
        <xdr:cNvPr id="410" name="Straight Connector 409"/>
        <xdr:cNvCxnSpPr/>
      </xdr:nvCxnSpPr>
      <xdr:spPr>
        <a:xfrm flipH="1">
          <a:off x="2627983" y="32538117"/>
          <a:ext cx="350480" cy="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371477</xdr:colOff>
      <xdr:row>137</xdr:row>
      <xdr:rowOff>76200</xdr:rowOff>
    </xdr:from>
    <xdr:to>
      <xdr:col>5</xdr:col>
      <xdr:colOff>390525</xdr:colOff>
      <xdr:row>137</xdr:row>
      <xdr:rowOff>76200</xdr:rowOff>
    </xdr:to>
    <xdr:cxnSp macro="">
      <xdr:nvCxnSpPr>
        <xdr:cNvPr id="411" name="Straight Connector 410"/>
        <xdr:cNvCxnSpPr/>
      </xdr:nvCxnSpPr>
      <xdr:spPr>
        <a:xfrm flipH="1">
          <a:off x="2771777" y="31632525"/>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142</xdr:row>
      <xdr:rowOff>19050</xdr:rowOff>
    </xdr:from>
    <xdr:to>
      <xdr:col>2</xdr:col>
      <xdr:colOff>9525</xdr:colOff>
      <xdr:row>144</xdr:row>
      <xdr:rowOff>66675</xdr:rowOff>
    </xdr:to>
    <xdr:cxnSp macro="">
      <xdr:nvCxnSpPr>
        <xdr:cNvPr id="412" name="Straight Arrow Connector 411"/>
        <xdr:cNvCxnSpPr/>
      </xdr:nvCxnSpPr>
      <xdr:spPr>
        <a:xfrm flipV="1">
          <a:off x="1209675" y="32385000"/>
          <a:ext cx="0" cy="3714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xdr:colOff>
      <xdr:row>142</xdr:row>
      <xdr:rowOff>19050</xdr:rowOff>
    </xdr:from>
    <xdr:to>
      <xdr:col>5</xdr:col>
      <xdr:colOff>66675</xdr:colOff>
      <xdr:row>144</xdr:row>
      <xdr:rowOff>66675</xdr:rowOff>
    </xdr:to>
    <xdr:cxnSp macro="">
      <xdr:nvCxnSpPr>
        <xdr:cNvPr id="413" name="Straight Arrow Connector 412"/>
        <xdr:cNvCxnSpPr/>
      </xdr:nvCxnSpPr>
      <xdr:spPr>
        <a:xfrm flipV="1">
          <a:off x="3067050" y="32385000"/>
          <a:ext cx="0" cy="3714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266700</xdr:colOff>
      <xdr:row>142</xdr:row>
      <xdr:rowOff>9525</xdr:rowOff>
    </xdr:from>
    <xdr:ext cx="377091" cy="239809"/>
    <xdr:sp macro="" textlink="">
      <xdr:nvSpPr>
        <xdr:cNvPr id="414" name="TextBox 413"/>
        <xdr:cNvSpPr txBox="1"/>
      </xdr:nvSpPr>
      <xdr:spPr>
        <a:xfrm>
          <a:off x="866775" y="32375475"/>
          <a:ext cx="377091"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Fv</a:t>
          </a:r>
          <a:r>
            <a:rPr lang="en-CA" sz="1000" baseline="-25000">
              <a:latin typeface="Times New Roman" pitchFamily="18" charset="0"/>
              <a:cs typeface="Times New Roman" pitchFamily="18" charset="0"/>
            </a:rPr>
            <a:t>n</a:t>
          </a:r>
        </a:p>
      </xdr:txBody>
    </xdr:sp>
    <xdr:clientData/>
  </xdr:oneCellAnchor>
  <xdr:oneCellAnchor>
    <xdr:from>
      <xdr:col>5</xdr:col>
      <xdr:colOff>85725</xdr:colOff>
      <xdr:row>142</xdr:row>
      <xdr:rowOff>9525</xdr:rowOff>
    </xdr:from>
    <xdr:ext cx="400815" cy="387286"/>
    <xdr:sp macro="" textlink="">
      <xdr:nvSpPr>
        <xdr:cNvPr id="415" name="TextBox 414"/>
        <xdr:cNvSpPr txBox="1"/>
      </xdr:nvSpPr>
      <xdr:spPr>
        <a:xfrm>
          <a:off x="3086100" y="32375475"/>
          <a:ext cx="400815"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Fv</a:t>
          </a:r>
          <a:r>
            <a:rPr lang="en-CA" sz="1000" baseline="-25000">
              <a:latin typeface="Times New Roman" pitchFamily="18" charset="0"/>
              <a:cs typeface="Times New Roman" pitchFamily="18" charset="0"/>
            </a:rPr>
            <a:t>m</a:t>
          </a:r>
        </a:p>
        <a:p>
          <a:endParaRPr lang="en-CA" sz="1000" baseline="-25000">
            <a:latin typeface="Times New Roman" pitchFamily="18" charset="0"/>
            <a:cs typeface="Times New Roman" pitchFamily="18" charset="0"/>
          </a:endParaRPr>
        </a:p>
      </xdr:txBody>
    </xdr:sp>
    <xdr:clientData/>
  </xdr:oneCellAnchor>
  <xdr:twoCellAnchor>
    <xdr:from>
      <xdr:col>4</xdr:col>
      <xdr:colOff>256761</xdr:colOff>
      <xdr:row>29</xdr:row>
      <xdr:rowOff>33130</xdr:rowOff>
    </xdr:from>
    <xdr:to>
      <xdr:col>4</xdr:col>
      <xdr:colOff>256761</xdr:colOff>
      <xdr:row>32</xdr:row>
      <xdr:rowOff>82826</xdr:rowOff>
    </xdr:to>
    <xdr:cxnSp macro="">
      <xdr:nvCxnSpPr>
        <xdr:cNvPr id="417" name="Straight Arrow Connector 416"/>
        <xdr:cNvCxnSpPr/>
      </xdr:nvCxnSpPr>
      <xdr:spPr>
        <a:xfrm flipV="1">
          <a:off x="2657061" y="4928980"/>
          <a:ext cx="0" cy="5354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xdr:row>
      <xdr:rowOff>99391</xdr:rowOff>
    </xdr:from>
    <xdr:to>
      <xdr:col>8</xdr:col>
      <xdr:colOff>0</xdr:colOff>
      <xdr:row>32</xdr:row>
      <xdr:rowOff>0</xdr:rowOff>
    </xdr:to>
    <xdr:cxnSp macro="">
      <xdr:nvCxnSpPr>
        <xdr:cNvPr id="418" name="Straight Arrow Connector 417"/>
        <xdr:cNvCxnSpPr/>
      </xdr:nvCxnSpPr>
      <xdr:spPr>
        <a:xfrm>
          <a:off x="4800600" y="4995241"/>
          <a:ext cx="0" cy="38638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517071</xdr:colOff>
      <xdr:row>34</xdr:row>
      <xdr:rowOff>116193</xdr:rowOff>
    </xdr:from>
    <xdr:to>
      <xdr:col>5</xdr:col>
      <xdr:colOff>79039</xdr:colOff>
      <xdr:row>35</xdr:row>
      <xdr:rowOff>111223</xdr:rowOff>
    </xdr:to>
    <xdr:sp macro="" textlink="">
      <xdr:nvSpPr>
        <xdr:cNvPr id="419" name="Oval 418"/>
        <xdr:cNvSpPr/>
      </xdr:nvSpPr>
      <xdr:spPr>
        <a:xfrm>
          <a:off x="2917371" y="5821668"/>
          <a:ext cx="162043" cy="15695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397327</xdr:colOff>
      <xdr:row>34</xdr:row>
      <xdr:rowOff>136071</xdr:rowOff>
    </xdr:from>
    <xdr:to>
      <xdr:col>5</xdr:col>
      <xdr:colOff>5441</xdr:colOff>
      <xdr:row>35</xdr:row>
      <xdr:rowOff>27214</xdr:rowOff>
    </xdr:to>
    <xdr:cxnSp macro="">
      <xdr:nvCxnSpPr>
        <xdr:cNvPr id="420" name="Straight Connector 419"/>
        <xdr:cNvCxnSpPr/>
      </xdr:nvCxnSpPr>
      <xdr:spPr>
        <a:xfrm flipH="1" flipV="1">
          <a:off x="2797627" y="5841546"/>
          <a:ext cx="208189" cy="530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397327</xdr:colOff>
      <xdr:row>32</xdr:row>
      <xdr:rowOff>119742</xdr:rowOff>
    </xdr:from>
    <xdr:to>
      <xdr:col>4</xdr:col>
      <xdr:colOff>397327</xdr:colOff>
      <xdr:row>34</xdr:row>
      <xdr:rowOff>136071</xdr:rowOff>
    </xdr:to>
    <xdr:cxnSp macro="">
      <xdr:nvCxnSpPr>
        <xdr:cNvPr id="421" name="Straight Connector 420"/>
        <xdr:cNvCxnSpPr/>
      </xdr:nvCxnSpPr>
      <xdr:spPr>
        <a:xfrm flipV="1">
          <a:off x="2797627" y="5501367"/>
          <a:ext cx="0" cy="3401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46264</xdr:colOff>
      <xdr:row>30</xdr:row>
      <xdr:rowOff>122791</xdr:rowOff>
    </xdr:from>
    <xdr:to>
      <xdr:col>4</xdr:col>
      <xdr:colOff>187778</xdr:colOff>
      <xdr:row>31</xdr:row>
      <xdr:rowOff>101019</xdr:rowOff>
    </xdr:to>
    <xdr:sp macro="" textlink="">
      <xdr:nvSpPr>
        <xdr:cNvPr id="422" name="Flowchart: Or 421"/>
        <xdr:cNvSpPr/>
      </xdr:nvSpPr>
      <xdr:spPr>
        <a:xfrm>
          <a:off x="2446564" y="4942441"/>
          <a:ext cx="141514" cy="140153"/>
        </a:xfrm>
        <a:prstGeom prst="flowChar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oneCellAnchor>
    <xdr:from>
      <xdr:col>3</xdr:col>
      <xdr:colOff>517071</xdr:colOff>
      <xdr:row>28</xdr:row>
      <xdr:rowOff>5442</xdr:rowOff>
    </xdr:from>
    <xdr:ext cx="694036" cy="239809"/>
    <xdr:sp macro="" textlink="">
      <xdr:nvSpPr>
        <xdr:cNvPr id="423" name="TextBox 422"/>
        <xdr:cNvSpPr txBox="1"/>
      </xdr:nvSpPr>
      <xdr:spPr>
        <a:xfrm>
          <a:off x="2317296" y="4739367"/>
          <a:ext cx="694036"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Wing Lift</a:t>
          </a:r>
        </a:p>
      </xdr:txBody>
    </xdr:sp>
    <xdr:clientData/>
  </xdr:oneCellAnchor>
  <xdr:oneCellAnchor>
    <xdr:from>
      <xdr:col>6</xdr:col>
      <xdr:colOff>263581</xdr:colOff>
      <xdr:row>31</xdr:row>
      <xdr:rowOff>152399</xdr:rowOff>
    </xdr:from>
    <xdr:ext cx="1833835" cy="534762"/>
    <xdr:sp macro="" textlink="">
      <xdr:nvSpPr>
        <xdr:cNvPr id="424" name="TextBox 423"/>
        <xdr:cNvSpPr txBox="1"/>
      </xdr:nvSpPr>
      <xdr:spPr>
        <a:xfrm>
          <a:off x="3864031" y="5372099"/>
          <a:ext cx="1833835"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CA" sz="1000">
              <a:latin typeface="Times New Roman" pitchFamily="18" charset="0"/>
              <a:cs typeface="Times New Roman" pitchFamily="18" charset="0"/>
            </a:rPr>
            <a:t>Horizontal</a:t>
          </a:r>
          <a:r>
            <a:rPr lang="en-CA" sz="1000" baseline="0">
              <a:latin typeface="Times New Roman" pitchFamily="18" charset="0"/>
              <a:cs typeface="Times New Roman" pitchFamily="18" charset="0"/>
            </a:rPr>
            <a:t> Tail</a:t>
          </a:r>
        </a:p>
        <a:p>
          <a:pPr algn="ctr"/>
          <a:r>
            <a:rPr lang="en-CA" sz="1000" baseline="0">
              <a:latin typeface="Times New Roman" pitchFamily="18" charset="0"/>
              <a:cs typeface="Times New Roman" pitchFamily="18" charset="0"/>
            </a:rPr>
            <a:t>Balancing Load, no net moment</a:t>
          </a:r>
        </a:p>
        <a:p>
          <a:pPr algn="ctr"/>
          <a:r>
            <a:rPr lang="en-CA" sz="1000" baseline="0">
              <a:latin typeface="Times New Roman" pitchFamily="18" charset="0"/>
              <a:cs typeface="Times New Roman" pitchFamily="18" charset="0"/>
            </a:rPr>
            <a:t>from wing lift.</a:t>
          </a:r>
          <a:endParaRPr lang="en-CA" sz="1000">
            <a:latin typeface="Times New Roman" pitchFamily="18" charset="0"/>
            <a:cs typeface="Times New Roman" pitchFamily="18" charset="0"/>
          </a:endParaRPr>
        </a:p>
      </xdr:txBody>
    </xdr:sp>
    <xdr:clientData/>
  </xdr:oneCellAnchor>
  <xdr:twoCellAnchor>
    <xdr:from>
      <xdr:col>4</xdr:col>
      <xdr:colOff>597412</xdr:colOff>
      <xdr:row>35</xdr:row>
      <xdr:rowOff>111223</xdr:rowOff>
    </xdr:from>
    <xdr:to>
      <xdr:col>5</xdr:col>
      <xdr:colOff>5443</xdr:colOff>
      <xdr:row>38</xdr:row>
      <xdr:rowOff>48986</xdr:rowOff>
    </xdr:to>
    <xdr:cxnSp macro="">
      <xdr:nvCxnSpPr>
        <xdr:cNvPr id="425" name="Straight Arrow Connector 424"/>
        <xdr:cNvCxnSpPr>
          <a:endCxn id="419" idx="4"/>
        </xdr:cNvCxnSpPr>
      </xdr:nvCxnSpPr>
      <xdr:spPr>
        <a:xfrm flipH="1" flipV="1">
          <a:off x="2997712" y="5978623"/>
          <a:ext cx="8106" cy="42353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33147</xdr:colOff>
      <xdr:row>35</xdr:row>
      <xdr:rowOff>152400</xdr:rowOff>
    </xdr:from>
    <xdr:ext cx="1238801" cy="239809"/>
    <xdr:sp macro="" textlink="">
      <xdr:nvSpPr>
        <xdr:cNvPr id="426" name="TextBox 425"/>
        <xdr:cNvSpPr txBox="1"/>
      </xdr:nvSpPr>
      <xdr:spPr>
        <a:xfrm>
          <a:off x="3033522" y="6019800"/>
          <a:ext cx="1238801"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CA" sz="1000">
              <a:latin typeface="Times New Roman" pitchFamily="18" charset="0"/>
              <a:cs typeface="Times New Roman" pitchFamily="18" charset="0"/>
            </a:rPr>
            <a:t>Landing Gear Loads</a:t>
          </a:r>
        </a:p>
      </xdr:txBody>
    </xdr:sp>
    <xdr:clientData/>
  </xdr:oneCellAnchor>
  <xdr:twoCellAnchor>
    <xdr:from>
      <xdr:col>4</xdr:col>
      <xdr:colOff>168727</xdr:colOff>
      <xdr:row>35</xdr:row>
      <xdr:rowOff>114300</xdr:rowOff>
    </xdr:from>
    <xdr:to>
      <xdr:col>5</xdr:col>
      <xdr:colOff>424542</xdr:colOff>
      <xdr:row>35</xdr:row>
      <xdr:rowOff>114300</xdr:rowOff>
    </xdr:to>
    <xdr:cxnSp macro="">
      <xdr:nvCxnSpPr>
        <xdr:cNvPr id="427" name="Straight Arrow Connector 426"/>
        <xdr:cNvCxnSpPr/>
      </xdr:nvCxnSpPr>
      <xdr:spPr>
        <a:xfrm>
          <a:off x="2569027" y="5981700"/>
          <a:ext cx="85589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526596</xdr:colOff>
      <xdr:row>30</xdr:row>
      <xdr:rowOff>27214</xdr:rowOff>
    </xdr:from>
    <xdr:to>
      <xdr:col>4</xdr:col>
      <xdr:colOff>274865</xdr:colOff>
      <xdr:row>32</xdr:row>
      <xdr:rowOff>48986</xdr:rowOff>
    </xdr:to>
    <xdr:sp macro="" textlink="">
      <xdr:nvSpPr>
        <xdr:cNvPr id="428" name="Arc 427"/>
        <xdr:cNvSpPr/>
      </xdr:nvSpPr>
      <xdr:spPr>
        <a:xfrm>
          <a:off x="2326821" y="4846864"/>
          <a:ext cx="348344" cy="345622"/>
        </a:xfrm>
        <a:prstGeom prst="arc">
          <a:avLst>
            <a:gd name="adj1" fmla="val 14606108"/>
            <a:gd name="adj2" fmla="val 2212164"/>
          </a:avLst>
        </a:prstGeom>
        <a:ln>
          <a:solidFill>
            <a:schemeClr val="tx1"/>
          </a:solidFill>
          <a:headEnd type="arrow"/>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oneCellAnchor>
    <xdr:from>
      <xdr:col>4</xdr:col>
      <xdr:colOff>480068</xdr:colOff>
      <xdr:row>26</xdr:row>
      <xdr:rowOff>97971</xdr:rowOff>
    </xdr:from>
    <xdr:ext cx="1450787" cy="734786"/>
    <xdr:sp macro="" textlink="">
      <xdr:nvSpPr>
        <xdr:cNvPr id="429" name="TextBox 428"/>
        <xdr:cNvSpPr txBox="1"/>
      </xdr:nvSpPr>
      <xdr:spPr>
        <a:xfrm>
          <a:off x="2880368" y="4269921"/>
          <a:ext cx="1450787" cy="734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CA" sz="1000">
              <a:latin typeface="Times New Roman" pitchFamily="18" charset="0"/>
              <a:cs typeface="Times New Roman" pitchFamily="18" charset="0"/>
            </a:rPr>
            <a:t>Moment about Aircraft CG Due to Landing</a:t>
          </a:r>
        </a:p>
        <a:p>
          <a:pPr algn="ctr"/>
          <a:r>
            <a:rPr lang="en-CA" sz="1000">
              <a:latin typeface="Times New Roman" pitchFamily="18" charset="0"/>
              <a:cs typeface="Times New Roman" pitchFamily="18" charset="0"/>
            </a:rPr>
            <a:t>Loads Alone</a:t>
          </a:r>
        </a:p>
      </xdr:txBody>
    </xdr:sp>
    <xdr:clientData/>
  </xdr:oneCellAnchor>
  <xdr:twoCellAnchor>
    <xdr:from>
      <xdr:col>4</xdr:col>
      <xdr:colOff>242207</xdr:colOff>
      <xdr:row>29</xdr:row>
      <xdr:rowOff>21772</xdr:rowOff>
    </xdr:from>
    <xdr:to>
      <xdr:col>5</xdr:col>
      <xdr:colOff>231322</xdr:colOff>
      <xdr:row>30</xdr:row>
      <xdr:rowOff>108857</xdr:rowOff>
    </xdr:to>
    <xdr:cxnSp macro="">
      <xdr:nvCxnSpPr>
        <xdr:cNvPr id="430" name="Straight Connector 429"/>
        <xdr:cNvCxnSpPr/>
      </xdr:nvCxnSpPr>
      <xdr:spPr>
        <a:xfrm flipV="1">
          <a:off x="2642507" y="4679497"/>
          <a:ext cx="589190" cy="2490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307207</xdr:colOff>
      <xdr:row>133</xdr:row>
      <xdr:rowOff>1093</xdr:rowOff>
    </xdr:from>
    <xdr:to>
      <xdr:col>8</xdr:col>
      <xdr:colOff>596635</xdr:colOff>
      <xdr:row>139</xdr:row>
      <xdr:rowOff>34030</xdr:rowOff>
    </xdr:to>
    <xdr:grpSp>
      <xdr:nvGrpSpPr>
        <xdr:cNvPr id="477" name="Group 476"/>
        <xdr:cNvGrpSpPr/>
      </xdr:nvGrpSpPr>
      <xdr:grpSpPr>
        <a:xfrm>
          <a:off x="924427" y="23310673"/>
          <a:ext cx="4609968" cy="1084497"/>
          <a:chOff x="10921166" y="1393402"/>
          <a:chExt cx="4529116" cy="890758"/>
        </a:xfrm>
      </xdr:grpSpPr>
      <xdr:sp macro="" textlink="">
        <xdr:nvSpPr>
          <xdr:cNvPr id="478" name="Freeform 477"/>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79" name="Freeform 478"/>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480" name="Straight Connector 479"/>
          <xdr:cNvCxnSpPr>
            <a:stCxn id="479" idx="6"/>
            <a:endCxn id="483"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1" name="Straight Connector 480"/>
          <xdr:cNvCxnSpPr>
            <a:stCxn id="478"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2" name="Straight Connector 481"/>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83" name="Freeform 482"/>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84" name="Freeform 483"/>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85" name="Freeform 484"/>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86" name="Freeform 485"/>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487" name="Oval 486"/>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488" name="Oval 487"/>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489" name="Freeform 488"/>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490" name="Straight Connector 489"/>
          <xdr:cNvCxnSpPr>
            <a:stCxn id="489" idx="1"/>
            <a:endCxn id="489"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309562</xdr:colOff>
      <xdr:row>190</xdr:row>
      <xdr:rowOff>5957</xdr:rowOff>
    </xdr:from>
    <xdr:to>
      <xdr:col>8</xdr:col>
      <xdr:colOff>598990</xdr:colOff>
      <xdr:row>196</xdr:row>
      <xdr:rowOff>38893</xdr:rowOff>
    </xdr:to>
    <xdr:grpSp>
      <xdr:nvGrpSpPr>
        <xdr:cNvPr id="492" name="Group 491"/>
        <xdr:cNvGrpSpPr/>
      </xdr:nvGrpSpPr>
      <xdr:grpSpPr>
        <a:xfrm>
          <a:off x="926782" y="33343457"/>
          <a:ext cx="4609968" cy="1084496"/>
          <a:chOff x="10921166" y="1393402"/>
          <a:chExt cx="4529116" cy="890758"/>
        </a:xfrm>
      </xdr:grpSpPr>
      <xdr:sp macro="" textlink="">
        <xdr:nvSpPr>
          <xdr:cNvPr id="493" name="Freeform 492"/>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94" name="Freeform 493"/>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495" name="Straight Connector 494"/>
          <xdr:cNvCxnSpPr>
            <a:stCxn id="494" idx="6"/>
            <a:endCxn id="498"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6" name="Straight Connector 495"/>
          <xdr:cNvCxnSpPr>
            <a:stCxn id="493"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7" name="Straight Connector 496"/>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98" name="Freeform 497"/>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99" name="Freeform 498"/>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00" name="Freeform 499"/>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01" name="Freeform 500"/>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02" name="Oval 501"/>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03" name="Oval 502"/>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04" name="Freeform 503"/>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05" name="Straight Connector 504"/>
          <xdr:cNvCxnSpPr>
            <a:stCxn id="504" idx="1"/>
            <a:endCxn id="504"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309562</xdr:colOff>
      <xdr:row>214</xdr:row>
      <xdr:rowOff>3852</xdr:rowOff>
    </xdr:from>
    <xdr:to>
      <xdr:col>8</xdr:col>
      <xdr:colOff>598990</xdr:colOff>
      <xdr:row>220</xdr:row>
      <xdr:rowOff>32936</xdr:rowOff>
    </xdr:to>
    <xdr:grpSp>
      <xdr:nvGrpSpPr>
        <xdr:cNvPr id="506" name="Group 505"/>
        <xdr:cNvGrpSpPr/>
      </xdr:nvGrpSpPr>
      <xdr:grpSpPr>
        <a:xfrm>
          <a:off x="926782" y="37562832"/>
          <a:ext cx="4609968" cy="1080644"/>
          <a:chOff x="10921166" y="1393402"/>
          <a:chExt cx="4529116" cy="890758"/>
        </a:xfrm>
      </xdr:grpSpPr>
      <xdr:sp macro="" textlink="">
        <xdr:nvSpPr>
          <xdr:cNvPr id="507" name="Freeform 506"/>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08" name="Freeform 507"/>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09" name="Straight Connector 508"/>
          <xdr:cNvCxnSpPr>
            <a:stCxn id="508" idx="6"/>
            <a:endCxn id="512"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10" name="Straight Connector 509"/>
          <xdr:cNvCxnSpPr>
            <a:stCxn id="507"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11" name="Straight Connector 510"/>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12" name="Freeform 511"/>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13" name="Freeform 512"/>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14" name="Freeform 513"/>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15" name="Freeform 514"/>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16" name="Oval 515"/>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17" name="Oval 516"/>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18" name="Freeform 517"/>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19" name="Straight Connector 518"/>
          <xdr:cNvCxnSpPr>
            <a:stCxn id="518" idx="1"/>
            <a:endCxn id="518"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315515</xdr:colOff>
      <xdr:row>248</xdr:row>
      <xdr:rowOff>0</xdr:rowOff>
    </xdr:from>
    <xdr:to>
      <xdr:col>9</xdr:col>
      <xdr:colOff>3677</xdr:colOff>
      <xdr:row>254</xdr:row>
      <xdr:rowOff>32937</xdr:rowOff>
    </xdr:to>
    <xdr:grpSp>
      <xdr:nvGrpSpPr>
        <xdr:cNvPr id="520" name="Group 519"/>
        <xdr:cNvGrpSpPr/>
      </xdr:nvGrpSpPr>
      <xdr:grpSpPr>
        <a:xfrm>
          <a:off x="932735" y="43525440"/>
          <a:ext cx="4625922" cy="1084497"/>
          <a:chOff x="10921166" y="1393402"/>
          <a:chExt cx="4529116" cy="890758"/>
        </a:xfrm>
      </xdr:grpSpPr>
      <xdr:sp macro="" textlink="">
        <xdr:nvSpPr>
          <xdr:cNvPr id="521" name="Freeform 520"/>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22" name="Freeform 521"/>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23" name="Straight Connector 522"/>
          <xdr:cNvCxnSpPr>
            <a:stCxn id="522" idx="6"/>
            <a:endCxn id="526"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4" name="Straight Connector 523"/>
          <xdr:cNvCxnSpPr>
            <a:stCxn id="521"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5" name="Straight Connector 524"/>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26" name="Freeform 525"/>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27" name="Freeform 526"/>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28" name="Freeform 527"/>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29" name="Freeform 528"/>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30" name="Oval 529"/>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31" name="Oval 530"/>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32" name="Freeform 531"/>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33" name="Straight Connector 532"/>
          <xdr:cNvCxnSpPr>
            <a:stCxn id="532" idx="1"/>
            <a:endCxn id="532"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309562</xdr:colOff>
      <xdr:row>272</xdr:row>
      <xdr:rowOff>0</xdr:rowOff>
    </xdr:from>
    <xdr:to>
      <xdr:col>8</xdr:col>
      <xdr:colOff>598990</xdr:colOff>
      <xdr:row>278</xdr:row>
      <xdr:rowOff>32937</xdr:rowOff>
    </xdr:to>
    <xdr:grpSp>
      <xdr:nvGrpSpPr>
        <xdr:cNvPr id="534" name="Group 533"/>
        <xdr:cNvGrpSpPr/>
      </xdr:nvGrpSpPr>
      <xdr:grpSpPr>
        <a:xfrm>
          <a:off x="926782" y="47746920"/>
          <a:ext cx="4609968" cy="1084497"/>
          <a:chOff x="10921166" y="1393402"/>
          <a:chExt cx="4529116" cy="890758"/>
        </a:xfrm>
      </xdr:grpSpPr>
      <xdr:sp macro="" textlink="">
        <xdr:nvSpPr>
          <xdr:cNvPr id="535" name="Freeform 534"/>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36" name="Freeform 535"/>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37" name="Straight Connector 536"/>
          <xdr:cNvCxnSpPr>
            <a:stCxn id="536" idx="6"/>
            <a:endCxn id="540"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8" name="Straight Connector 537"/>
          <xdr:cNvCxnSpPr>
            <a:stCxn id="535"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9" name="Straight Connector 538"/>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40" name="Freeform 539"/>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41" name="Freeform 540"/>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42" name="Freeform 541"/>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43" name="Freeform 542"/>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44" name="Oval 543"/>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45" name="Oval 544"/>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46" name="Freeform 545"/>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47" name="Straight Connector 546"/>
          <xdr:cNvCxnSpPr>
            <a:stCxn id="546" idx="1"/>
            <a:endCxn id="546"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297654</xdr:colOff>
      <xdr:row>413</xdr:row>
      <xdr:rowOff>154781</xdr:rowOff>
    </xdr:from>
    <xdr:to>
      <xdr:col>8</xdr:col>
      <xdr:colOff>587082</xdr:colOff>
      <xdr:row>420</xdr:row>
      <xdr:rowOff>26984</xdr:rowOff>
    </xdr:to>
    <xdr:grpSp>
      <xdr:nvGrpSpPr>
        <xdr:cNvPr id="548" name="Group 547"/>
        <xdr:cNvGrpSpPr/>
      </xdr:nvGrpSpPr>
      <xdr:grpSpPr>
        <a:xfrm rot="643203">
          <a:off x="914874" y="73276301"/>
          <a:ext cx="4609968" cy="1099023"/>
          <a:chOff x="10921166" y="1393402"/>
          <a:chExt cx="4529116" cy="890758"/>
        </a:xfrm>
      </xdr:grpSpPr>
      <xdr:sp macro="" textlink="">
        <xdr:nvSpPr>
          <xdr:cNvPr id="549" name="Freeform 548"/>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50" name="Freeform 549"/>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51" name="Straight Connector 550"/>
          <xdr:cNvCxnSpPr>
            <a:stCxn id="550" idx="6"/>
            <a:endCxn id="554"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2" name="Straight Connector 551"/>
          <xdr:cNvCxnSpPr>
            <a:stCxn id="549"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3" name="Straight Connector 552"/>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54" name="Freeform 553"/>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55" name="Freeform 554"/>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56" name="Freeform 555"/>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57" name="Freeform 556"/>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58" name="Oval 557"/>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59" name="Oval 558"/>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60" name="Freeform 559"/>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61" name="Straight Connector 560"/>
          <xdr:cNvCxnSpPr>
            <a:stCxn id="560" idx="1"/>
            <a:endCxn id="560"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297654</xdr:colOff>
      <xdr:row>437</xdr:row>
      <xdr:rowOff>4468</xdr:rowOff>
    </xdr:from>
    <xdr:to>
      <xdr:col>8</xdr:col>
      <xdr:colOff>587082</xdr:colOff>
      <xdr:row>443</xdr:row>
      <xdr:rowOff>33553</xdr:rowOff>
    </xdr:to>
    <xdr:grpSp>
      <xdr:nvGrpSpPr>
        <xdr:cNvPr id="562" name="Group 561"/>
        <xdr:cNvGrpSpPr/>
      </xdr:nvGrpSpPr>
      <xdr:grpSpPr>
        <a:xfrm rot="643203">
          <a:off x="914874" y="77377948"/>
          <a:ext cx="4609968" cy="1080645"/>
          <a:chOff x="10921166" y="1393402"/>
          <a:chExt cx="4529116" cy="890758"/>
        </a:xfrm>
      </xdr:grpSpPr>
      <xdr:sp macro="" textlink="">
        <xdr:nvSpPr>
          <xdr:cNvPr id="563" name="Freeform 562"/>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64" name="Freeform 563"/>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65" name="Straight Connector 564"/>
          <xdr:cNvCxnSpPr>
            <a:stCxn id="564" idx="6"/>
            <a:endCxn id="568"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66" name="Straight Connector 565"/>
          <xdr:cNvCxnSpPr>
            <a:stCxn id="563"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67" name="Straight Connector 566"/>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68" name="Freeform 567"/>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69" name="Freeform 568"/>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70" name="Freeform 569"/>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71" name="Freeform 570"/>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72" name="Oval 571"/>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73" name="Oval 572"/>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74" name="Freeform 573"/>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75" name="Straight Connector 574"/>
          <xdr:cNvCxnSpPr>
            <a:stCxn id="574" idx="1"/>
            <a:endCxn id="574"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297655</xdr:colOff>
      <xdr:row>466</xdr:row>
      <xdr:rowOff>43107</xdr:rowOff>
    </xdr:from>
    <xdr:to>
      <xdr:col>8</xdr:col>
      <xdr:colOff>587083</xdr:colOff>
      <xdr:row>472</xdr:row>
      <xdr:rowOff>79534</xdr:rowOff>
    </xdr:to>
    <xdr:grpSp>
      <xdr:nvGrpSpPr>
        <xdr:cNvPr id="576" name="Group 575"/>
        <xdr:cNvGrpSpPr/>
      </xdr:nvGrpSpPr>
      <xdr:grpSpPr>
        <a:xfrm rot="643203">
          <a:off x="914875" y="82537227"/>
          <a:ext cx="4609968" cy="1087987"/>
          <a:chOff x="10921166" y="1393402"/>
          <a:chExt cx="4529116" cy="890758"/>
        </a:xfrm>
      </xdr:grpSpPr>
      <xdr:sp macro="" textlink="">
        <xdr:nvSpPr>
          <xdr:cNvPr id="577" name="Freeform 576"/>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78" name="Freeform 577"/>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79" name="Straight Connector 578"/>
          <xdr:cNvCxnSpPr>
            <a:stCxn id="578" idx="6"/>
            <a:endCxn id="582"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80" name="Straight Connector 579"/>
          <xdr:cNvCxnSpPr>
            <a:stCxn id="577"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81" name="Straight Connector 580"/>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82" name="Freeform 581"/>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83" name="Freeform 582"/>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84" name="Freeform 583"/>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85" name="Freeform 584"/>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86" name="Oval 585"/>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87" name="Oval 586"/>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88" name="Freeform 587"/>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89" name="Straight Connector 588"/>
          <xdr:cNvCxnSpPr>
            <a:stCxn id="588" idx="1"/>
            <a:endCxn id="588"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297655</xdr:colOff>
      <xdr:row>491</xdr:row>
      <xdr:rowOff>23400</xdr:rowOff>
    </xdr:from>
    <xdr:to>
      <xdr:col>8</xdr:col>
      <xdr:colOff>587083</xdr:colOff>
      <xdr:row>497</xdr:row>
      <xdr:rowOff>59827</xdr:rowOff>
    </xdr:to>
    <xdr:grpSp>
      <xdr:nvGrpSpPr>
        <xdr:cNvPr id="590" name="Group 589"/>
        <xdr:cNvGrpSpPr/>
      </xdr:nvGrpSpPr>
      <xdr:grpSpPr>
        <a:xfrm rot="643203">
          <a:off x="914875" y="86944740"/>
          <a:ext cx="4609968" cy="1087987"/>
          <a:chOff x="10921166" y="1393402"/>
          <a:chExt cx="4529116" cy="890758"/>
        </a:xfrm>
      </xdr:grpSpPr>
      <xdr:sp macro="" textlink="">
        <xdr:nvSpPr>
          <xdr:cNvPr id="591" name="Freeform 590"/>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92" name="Freeform 591"/>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93" name="Straight Connector 592"/>
          <xdr:cNvCxnSpPr>
            <a:stCxn id="592" idx="6"/>
            <a:endCxn id="596"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94" name="Straight Connector 593"/>
          <xdr:cNvCxnSpPr>
            <a:stCxn id="591"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95" name="Straight Connector 594"/>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96" name="Freeform 595"/>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97" name="Freeform 596"/>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98" name="Freeform 597"/>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99" name="Freeform 598"/>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00" name="Oval 599"/>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01" name="Oval 600"/>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02" name="Freeform 601"/>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603" name="Straight Connector 602"/>
          <xdr:cNvCxnSpPr>
            <a:stCxn id="602" idx="1"/>
            <a:endCxn id="602"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0</xdr:col>
      <xdr:colOff>504825</xdr:colOff>
      <xdr:row>26</xdr:row>
      <xdr:rowOff>31730</xdr:rowOff>
    </xdr:from>
    <xdr:to>
      <xdr:col>9</xdr:col>
      <xdr:colOff>152400</xdr:colOff>
      <xdr:row>33</xdr:row>
      <xdr:rowOff>25895</xdr:rowOff>
    </xdr:to>
    <xdr:grpSp>
      <xdr:nvGrpSpPr>
        <xdr:cNvPr id="604" name="Group 603"/>
        <xdr:cNvGrpSpPr/>
      </xdr:nvGrpSpPr>
      <xdr:grpSpPr>
        <a:xfrm>
          <a:off x="504825" y="4611350"/>
          <a:ext cx="5202555" cy="1220985"/>
          <a:chOff x="10921166" y="1393402"/>
          <a:chExt cx="4529116" cy="890758"/>
        </a:xfrm>
      </xdr:grpSpPr>
      <xdr:sp macro="" textlink="">
        <xdr:nvSpPr>
          <xdr:cNvPr id="605" name="Freeform 604"/>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06" name="Freeform 605"/>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607" name="Straight Connector 606"/>
          <xdr:cNvCxnSpPr>
            <a:stCxn id="606" idx="6"/>
            <a:endCxn id="610"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08" name="Straight Connector 607"/>
          <xdr:cNvCxnSpPr>
            <a:stCxn id="605"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09" name="Straight Connector 608"/>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10" name="Freeform 609"/>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11" name="Freeform 610"/>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12" name="Freeform 611"/>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13" name="Freeform 612"/>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14" name="Oval 613"/>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15" name="Oval 614"/>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16" name="Freeform 615"/>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617" name="Straight Connector 616"/>
          <xdr:cNvCxnSpPr>
            <a:stCxn id="616" idx="1"/>
            <a:endCxn id="616"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460" name="Group 459"/>
        <xdr:cNvGrpSpPr/>
      </xdr:nvGrpSpPr>
      <xdr:grpSpPr>
        <a:xfrm>
          <a:off x="40822" y="1267641"/>
          <a:ext cx="2494733" cy="630195"/>
          <a:chOff x="40822" y="1267641"/>
          <a:chExt cx="2570933" cy="630195"/>
        </a:xfrm>
      </xdr:grpSpPr>
      <xdr:pic>
        <xdr:nvPicPr>
          <xdr:cNvPr id="461" name="Picture 460">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62" name="Picture 461"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65</xdr:row>
      <xdr:rowOff>40821</xdr:rowOff>
    </xdr:from>
    <xdr:to>
      <xdr:col>4</xdr:col>
      <xdr:colOff>66675</xdr:colOff>
      <xdr:row>68</xdr:row>
      <xdr:rowOff>145236</xdr:rowOff>
    </xdr:to>
    <xdr:grpSp>
      <xdr:nvGrpSpPr>
        <xdr:cNvPr id="463" name="Group 462"/>
        <xdr:cNvGrpSpPr/>
      </xdr:nvGrpSpPr>
      <xdr:grpSpPr>
        <a:xfrm>
          <a:off x="40822" y="11455581"/>
          <a:ext cx="2494733" cy="630195"/>
          <a:chOff x="40822" y="1267641"/>
          <a:chExt cx="2570933" cy="630195"/>
        </a:xfrm>
      </xdr:grpSpPr>
      <xdr:pic>
        <xdr:nvPicPr>
          <xdr:cNvPr id="464" name="Picture 46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65" name="Picture 46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124</xdr:row>
      <xdr:rowOff>40821</xdr:rowOff>
    </xdr:from>
    <xdr:to>
      <xdr:col>4</xdr:col>
      <xdr:colOff>66675</xdr:colOff>
      <xdr:row>127</xdr:row>
      <xdr:rowOff>145236</xdr:rowOff>
    </xdr:to>
    <xdr:grpSp>
      <xdr:nvGrpSpPr>
        <xdr:cNvPr id="466" name="Group 465"/>
        <xdr:cNvGrpSpPr/>
      </xdr:nvGrpSpPr>
      <xdr:grpSpPr>
        <a:xfrm>
          <a:off x="40822" y="21788301"/>
          <a:ext cx="2494733" cy="622575"/>
          <a:chOff x="40822" y="1267641"/>
          <a:chExt cx="2570933" cy="630195"/>
        </a:xfrm>
      </xdr:grpSpPr>
      <xdr:pic>
        <xdr:nvPicPr>
          <xdr:cNvPr id="467" name="Picture 466">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68" name="Picture 467"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179</xdr:row>
      <xdr:rowOff>40821</xdr:rowOff>
    </xdr:from>
    <xdr:to>
      <xdr:col>4</xdr:col>
      <xdr:colOff>66675</xdr:colOff>
      <xdr:row>182</xdr:row>
      <xdr:rowOff>145236</xdr:rowOff>
    </xdr:to>
    <xdr:grpSp>
      <xdr:nvGrpSpPr>
        <xdr:cNvPr id="469" name="Group 468"/>
        <xdr:cNvGrpSpPr/>
      </xdr:nvGrpSpPr>
      <xdr:grpSpPr>
        <a:xfrm>
          <a:off x="40822" y="31458081"/>
          <a:ext cx="2494733" cy="630195"/>
          <a:chOff x="40822" y="1267641"/>
          <a:chExt cx="2570933" cy="630195"/>
        </a:xfrm>
      </xdr:grpSpPr>
      <xdr:pic>
        <xdr:nvPicPr>
          <xdr:cNvPr id="470" name="Picture 469">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71" name="Picture 470"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237</xdr:row>
      <xdr:rowOff>40821</xdr:rowOff>
    </xdr:from>
    <xdr:to>
      <xdr:col>4</xdr:col>
      <xdr:colOff>66675</xdr:colOff>
      <xdr:row>240</xdr:row>
      <xdr:rowOff>145236</xdr:rowOff>
    </xdr:to>
    <xdr:grpSp>
      <xdr:nvGrpSpPr>
        <xdr:cNvPr id="472" name="Group 471"/>
        <xdr:cNvGrpSpPr/>
      </xdr:nvGrpSpPr>
      <xdr:grpSpPr>
        <a:xfrm>
          <a:off x="40822" y="41646021"/>
          <a:ext cx="2494733" cy="630195"/>
          <a:chOff x="40822" y="1267641"/>
          <a:chExt cx="2570933" cy="630195"/>
        </a:xfrm>
      </xdr:grpSpPr>
      <xdr:pic>
        <xdr:nvPicPr>
          <xdr:cNvPr id="473" name="Picture 47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74" name="Picture 473"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295</xdr:row>
      <xdr:rowOff>40821</xdr:rowOff>
    </xdr:from>
    <xdr:to>
      <xdr:col>4</xdr:col>
      <xdr:colOff>66675</xdr:colOff>
      <xdr:row>298</xdr:row>
      <xdr:rowOff>145236</xdr:rowOff>
    </xdr:to>
    <xdr:grpSp>
      <xdr:nvGrpSpPr>
        <xdr:cNvPr id="475" name="Group 474"/>
        <xdr:cNvGrpSpPr/>
      </xdr:nvGrpSpPr>
      <xdr:grpSpPr>
        <a:xfrm>
          <a:off x="40822" y="51833961"/>
          <a:ext cx="2494733" cy="630195"/>
          <a:chOff x="40822" y="1267641"/>
          <a:chExt cx="2570933" cy="630195"/>
        </a:xfrm>
      </xdr:grpSpPr>
      <xdr:pic>
        <xdr:nvPicPr>
          <xdr:cNvPr id="476" name="Picture 475">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91" name="Picture 490"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348</xdr:row>
      <xdr:rowOff>40821</xdr:rowOff>
    </xdr:from>
    <xdr:to>
      <xdr:col>4</xdr:col>
      <xdr:colOff>66675</xdr:colOff>
      <xdr:row>351</xdr:row>
      <xdr:rowOff>145236</xdr:rowOff>
    </xdr:to>
    <xdr:grpSp>
      <xdr:nvGrpSpPr>
        <xdr:cNvPr id="618" name="Group 617"/>
        <xdr:cNvGrpSpPr/>
      </xdr:nvGrpSpPr>
      <xdr:grpSpPr>
        <a:xfrm>
          <a:off x="40822" y="61511361"/>
          <a:ext cx="2494733" cy="630195"/>
          <a:chOff x="40822" y="1267641"/>
          <a:chExt cx="2570933" cy="630195"/>
        </a:xfrm>
      </xdr:grpSpPr>
      <xdr:pic>
        <xdr:nvPicPr>
          <xdr:cNvPr id="619" name="Picture 618">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0" name="Picture 619"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402</xdr:row>
      <xdr:rowOff>40821</xdr:rowOff>
    </xdr:from>
    <xdr:to>
      <xdr:col>4</xdr:col>
      <xdr:colOff>66675</xdr:colOff>
      <xdr:row>405</xdr:row>
      <xdr:rowOff>145236</xdr:rowOff>
    </xdr:to>
    <xdr:grpSp>
      <xdr:nvGrpSpPr>
        <xdr:cNvPr id="621" name="Group 620"/>
        <xdr:cNvGrpSpPr/>
      </xdr:nvGrpSpPr>
      <xdr:grpSpPr>
        <a:xfrm>
          <a:off x="40822" y="71242101"/>
          <a:ext cx="2494733" cy="630195"/>
          <a:chOff x="40822" y="1267641"/>
          <a:chExt cx="2570933" cy="630195"/>
        </a:xfrm>
      </xdr:grpSpPr>
      <xdr:pic>
        <xdr:nvPicPr>
          <xdr:cNvPr id="622" name="Picture 62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3" name="Picture 62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459</xdr:row>
      <xdr:rowOff>40821</xdr:rowOff>
    </xdr:from>
    <xdr:to>
      <xdr:col>4</xdr:col>
      <xdr:colOff>66675</xdr:colOff>
      <xdr:row>462</xdr:row>
      <xdr:rowOff>145236</xdr:rowOff>
    </xdr:to>
    <xdr:grpSp>
      <xdr:nvGrpSpPr>
        <xdr:cNvPr id="624" name="Group 623"/>
        <xdr:cNvGrpSpPr/>
      </xdr:nvGrpSpPr>
      <xdr:grpSpPr>
        <a:xfrm>
          <a:off x="40822" y="81315741"/>
          <a:ext cx="2494733" cy="630195"/>
          <a:chOff x="40822" y="1267641"/>
          <a:chExt cx="2570933" cy="630195"/>
        </a:xfrm>
      </xdr:grpSpPr>
      <xdr:pic>
        <xdr:nvPicPr>
          <xdr:cNvPr id="625" name="Picture 624">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6" name="Picture 62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516</xdr:row>
      <xdr:rowOff>40821</xdr:rowOff>
    </xdr:from>
    <xdr:to>
      <xdr:col>4</xdr:col>
      <xdr:colOff>66675</xdr:colOff>
      <xdr:row>519</xdr:row>
      <xdr:rowOff>145236</xdr:rowOff>
    </xdr:to>
    <xdr:grpSp>
      <xdr:nvGrpSpPr>
        <xdr:cNvPr id="627" name="Group 626"/>
        <xdr:cNvGrpSpPr/>
      </xdr:nvGrpSpPr>
      <xdr:grpSpPr>
        <a:xfrm>
          <a:off x="40822" y="91389381"/>
          <a:ext cx="2494733" cy="630195"/>
          <a:chOff x="40822" y="1267641"/>
          <a:chExt cx="2570933" cy="630195"/>
        </a:xfrm>
      </xdr:grpSpPr>
      <xdr:pic>
        <xdr:nvPicPr>
          <xdr:cNvPr id="628" name="Picture 627">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9" name="Picture 628"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571</xdr:row>
      <xdr:rowOff>40821</xdr:rowOff>
    </xdr:from>
    <xdr:to>
      <xdr:col>4</xdr:col>
      <xdr:colOff>66675</xdr:colOff>
      <xdr:row>574</xdr:row>
      <xdr:rowOff>145236</xdr:rowOff>
    </xdr:to>
    <xdr:grpSp>
      <xdr:nvGrpSpPr>
        <xdr:cNvPr id="630" name="Group 629"/>
        <xdr:cNvGrpSpPr/>
      </xdr:nvGrpSpPr>
      <xdr:grpSpPr>
        <a:xfrm>
          <a:off x="40822" y="101264901"/>
          <a:ext cx="2494733" cy="614955"/>
          <a:chOff x="40822" y="1267641"/>
          <a:chExt cx="2570933" cy="630195"/>
        </a:xfrm>
      </xdr:grpSpPr>
      <xdr:pic>
        <xdr:nvPicPr>
          <xdr:cNvPr id="631" name="Picture 630">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32" name="Picture 631"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626</xdr:row>
      <xdr:rowOff>40821</xdr:rowOff>
    </xdr:from>
    <xdr:to>
      <xdr:col>4</xdr:col>
      <xdr:colOff>66675</xdr:colOff>
      <xdr:row>629</xdr:row>
      <xdr:rowOff>145236</xdr:rowOff>
    </xdr:to>
    <xdr:grpSp>
      <xdr:nvGrpSpPr>
        <xdr:cNvPr id="633" name="Group 632"/>
        <xdr:cNvGrpSpPr/>
      </xdr:nvGrpSpPr>
      <xdr:grpSpPr>
        <a:xfrm>
          <a:off x="40822" y="111125181"/>
          <a:ext cx="2494733" cy="630195"/>
          <a:chOff x="40822" y="1267641"/>
          <a:chExt cx="2570933" cy="630195"/>
        </a:xfrm>
      </xdr:grpSpPr>
      <xdr:pic>
        <xdr:nvPicPr>
          <xdr:cNvPr id="634" name="Picture 63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35" name="Picture 63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682</xdr:row>
      <xdr:rowOff>40821</xdr:rowOff>
    </xdr:from>
    <xdr:to>
      <xdr:col>4</xdr:col>
      <xdr:colOff>66675</xdr:colOff>
      <xdr:row>685</xdr:row>
      <xdr:rowOff>145236</xdr:rowOff>
    </xdr:to>
    <xdr:grpSp>
      <xdr:nvGrpSpPr>
        <xdr:cNvPr id="636" name="Group 635"/>
        <xdr:cNvGrpSpPr/>
      </xdr:nvGrpSpPr>
      <xdr:grpSpPr>
        <a:xfrm>
          <a:off x="40822" y="121115001"/>
          <a:ext cx="2494733" cy="614955"/>
          <a:chOff x="40822" y="1267641"/>
          <a:chExt cx="2570933" cy="630195"/>
        </a:xfrm>
      </xdr:grpSpPr>
      <xdr:pic>
        <xdr:nvPicPr>
          <xdr:cNvPr id="637" name="Picture 636">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38" name="Picture 637"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736</xdr:row>
      <xdr:rowOff>40821</xdr:rowOff>
    </xdr:from>
    <xdr:to>
      <xdr:col>4</xdr:col>
      <xdr:colOff>66675</xdr:colOff>
      <xdr:row>739</xdr:row>
      <xdr:rowOff>145236</xdr:rowOff>
    </xdr:to>
    <xdr:grpSp>
      <xdr:nvGrpSpPr>
        <xdr:cNvPr id="639" name="Group 638"/>
        <xdr:cNvGrpSpPr/>
      </xdr:nvGrpSpPr>
      <xdr:grpSpPr>
        <a:xfrm>
          <a:off x="40822" y="130860981"/>
          <a:ext cx="2494733" cy="614955"/>
          <a:chOff x="40822" y="1267641"/>
          <a:chExt cx="2570933" cy="630195"/>
        </a:xfrm>
      </xdr:grpSpPr>
      <xdr:pic>
        <xdr:nvPicPr>
          <xdr:cNvPr id="640" name="Picture 639">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1" name="Picture 640"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796</xdr:row>
      <xdr:rowOff>40821</xdr:rowOff>
    </xdr:from>
    <xdr:to>
      <xdr:col>4</xdr:col>
      <xdr:colOff>66675</xdr:colOff>
      <xdr:row>799</xdr:row>
      <xdr:rowOff>145236</xdr:rowOff>
    </xdr:to>
    <xdr:grpSp>
      <xdr:nvGrpSpPr>
        <xdr:cNvPr id="642" name="Group 641"/>
        <xdr:cNvGrpSpPr/>
      </xdr:nvGrpSpPr>
      <xdr:grpSpPr>
        <a:xfrm>
          <a:off x="40822" y="141247041"/>
          <a:ext cx="2494733" cy="630195"/>
          <a:chOff x="40822" y="1267641"/>
          <a:chExt cx="2570933" cy="630195"/>
        </a:xfrm>
      </xdr:grpSpPr>
      <xdr:pic>
        <xdr:nvPicPr>
          <xdr:cNvPr id="643" name="Picture 64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4" name="Picture 643"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xl-viking.com/" TargetMode="External"/><Relationship Id="rId13" Type="http://schemas.openxmlformats.org/officeDocument/2006/relationships/hyperlink" Target="http://www.xl-viking.com/" TargetMode="External"/><Relationship Id="rId3" Type="http://schemas.openxmlformats.org/officeDocument/2006/relationships/hyperlink" Target="http://www.xl-viking.com/" TargetMode="External"/><Relationship Id="rId7" Type="http://schemas.openxmlformats.org/officeDocument/2006/relationships/hyperlink" Target="http://www.xl-viking.com/" TargetMode="External"/><Relationship Id="rId12" Type="http://schemas.openxmlformats.org/officeDocument/2006/relationships/hyperlink" Target="http://www.xl-viking.com/" TargetMode="External"/><Relationship Id="rId17" Type="http://schemas.openxmlformats.org/officeDocument/2006/relationships/drawing" Target="../drawings/drawing2.xml"/><Relationship Id="rId2" Type="http://schemas.openxmlformats.org/officeDocument/2006/relationships/hyperlink" Target="http://www.xl-viking.com/" TargetMode="External"/><Relationship Id="rId16" Type="http://schemas.openxmlformats.org/officeDocument/2006/relationships/printerSettings" Target="../printerSettings/printerSettings2.bin"/><Relationship Id="rId1" Type="http://schemas.openxmlformats.org/officeDocument/2006/relationships/hyperlink" Target="http://www.xl-viking.com/" TargetMode="External"/><Relationship Id="rId6" Type="http://schemas.openxmlformats.org/officeDocument/2006/relationships/hyperlink" Target="http://www.xl-viking.com/" TargetMode="External"/><Relationship Id="rId11" Type="http://schemas.openxmlformats.org/officeDocument/2006/relationships/hyperlink" Target="http://www.xl-viking.com/" TargetMode="External"/><Relationship Id="rId5" Type="http://schemas.openxmlformats.org/officeDocument/2006/relationships/hyperlink" Target="http://www.xl-viking.com/" TargetMode="External"/><Relationship Id="rId15" Type="http://schemas.openxmlformats.org/officeDocument/2006/relationships/hyperlink" Target="http://www.xl-viking.com/" TargetMode="External"/><Relationship Id="rId10" Type="http://schemas.openxmlformats.org/officeDocument/2006/relationships/hyperlink" Target="http://www.xl-viking.com/" TargetMode="External"/><Relationship Id="rId4" Type="http://schemas.openxmlformats.org/officeDocument/2006/relationships/hyperlink" Target="http://www.xl-viking.com/" TargetMode="External"/><Relationship Id="rId9" Type="http://schemas.openxmlformats.org/officeDocument/2006/relationships/hyperlink" Target="http://www.xl-viking.com/" TargetMode="External"/><Relationship Id="rId14"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204" customWidth="1"/>
    <col min="18" max="19" width="5.33203125" style="205" customWidth="1"/>
    <col min="20" max="25" width="9.109375" style="207"/>
    <col min="26" max="16384" width="9.109375" style="20"/>
  </cols>
  <sheetData>
    <row r="1" spans="1:25" s="5" customFormat="1" ht="13.8" x14ac:dyDescent="0.3">
      <c r="A1" s="1"/>
      <c r="B1" s="2" t="s">
        <v>1</v>
      </c>
      <c r="C1" s="3" t="s">
        <v>0</v>
      </c>
      <c r="D1" s="1"/>
      <c r="E1" s="1"/>
      <c r="F1" s="2" t="s">
        <v>118</v>
      </c>
      <c r="G1" s="4"/>
      <c r="H1" s="1"/>
      <c r="I1" s="1"/>
      <c r="J1" s="1"/>
      <c r="K1" s="1"/>
      <c r="M1" s="200"/>
      <c r="N1" s="200"/>
      <c r="O1" s="200"/>
      <c r="P1" s="200"/>
      <c r="Q1" s="200"/>
      <c r="R1" s="200"/>
      <c r="S1" s="200"/>
      <c r="T1" s="201"/>
      <c r="U1" s="201"/>
      <c r="V1" s="201"/>
      <c r="W1" s="202"/>
      <c r="X1" s="203"/>
      <c r="Y1" s="201"/>
    </row>
    <row r="2" spans="1:25" s="5" customFormat="1" ht="13.8" x14ac:dyDescent="0.3">
      <c r="A2" s="1"/>
      <c r="B2" s="2" t="s">
        <v>2</v>
      </c>
      <c r="C2" s="3" t="s">
        <v>10</v>
      </c>
      <c r="D2" s="1"/>
      <c r="E2" s="1"/>
      <c r="F2" s="2" t="s">
        <v>5</v>
      </c>
      <c r="G2" s="3"/>
      <c r="H2" s="1"/>
      <c r="I2" s="1"/>
      <c r="J2" s="1"/>
      <c r="K2" s="1"/>
      <c r="M2" s="200"/>
      <c r="N2" s="200"/>
      <c r="O2" s="200"/>
      <c r="P2" s="200"/>
      <c r="Q2" s="200"/>
      <c r="R2" s="200"/>
      <c r="S2" s="200"/>
      <c r="T2" s="201"/>
      <c r="U2" s="201"/>
      <c r="V2" s="201"/>
      <c r="W2" s="202"/>
      <c r="X2" s="203"/>
      <c r="Y2" s="201"/>
    </row>
    <row r="3" spans="1:25" s="5" customFormat="1" ht="13.8" x14ac:dyDescent="0.3">
      <c r="A3" s="1"/>
      <c r="B3" s="2" t="s">
        <v>3</v>
      </c>
      <c r="C3" s="10"/>
      <c r="D3" s="1"/>
      <c r="E3" s="1"/>
      <c r="F3" s="2" t="s">
        <v>4</v>
      </c>
      <c r="G3" s="3"/>
      <c r="H3" s="1"/>
      <c r="I3" s="1"/>
      <c r="J3" s="1"/>
      <c r="K3" s="1"/>
      <c r="M3" s="200"/>
      <c r="N3" s="200"/>
      <c r="O3" s="200"/>
      <c r="P3" s="200"/>
      <c r="Q3" s="200"/>
      <c r="R3" s="200"/>
      <c r="S3" s="200"/>
      <c r="T3" s="201"/>
      <c r="U3" s="201"/>
      <c r="V3" s="201"/>
      <c r="W3" s="202"/>
      <c r="X3" s="203"/>
      <c r="Y3" s="201"/>
    </row>
    <row r="4" spans="1:25" s="5" customFormat="1" ht="13.8" x14ac:dyDescent="0.3">
      <c r="A4" s="1"/>
      <c r="B4" s="2" t="s">
        <v>125</v>
      </c>
      <c r="C4" s="4"/>
      <c r="D4" s="1"/>
      <c r="E4" s="1"/>
      <c r="F4" s="2" t="s">
        <v>126</v>
      </c>
      <c r="G4" s="3" t="s">
        <v>127</v>
      </c>
      <c r="H4" s="1"/>
      <c r="I4" s="1"/>
      <c r="J4" s="1"/>
      <c r="K4" s="1"/>
      <c r="M4" s="200"/>
      <c r="N4" s="200"/>
      <c r="O4" s="200"/>
      <c r="P4" s="200"/>
      <c r="Q4" s="204"/>
      <c r="R4" s="205"/>
      <c r="S4" s="205"/>
      <c r="T4" s="201"/>
      <c r="U4" s="201"/>
      <c r="V4" s="201"/>
      <c r="W4" s="202"/>
      <c r="X4" s="203"/>
      <c r="Y4" s="201"/>
    </row>
    <row r="5" spans="1:25" s="5" customFormat="1" ht="13.8" x14ac:dyDescent="0.3">
      <c r="A5" s="1"/>
      <c r="B5" s="2" t="s">
        <v>128</v>
      </c>
      <c r="C5" s="4"/>
      <c r="D5" s="1"/>
      <c r="E5" s="2"/>
      <c r="F5" s="1"/>
      <c r="G5" s="1"/>
      <c r="H5" s="1"/>
      <c r="I5" s="1"/>
      <c r="J5" s="1"/>
      <c r="K5" s="1"/>
      <c r="M5" s="200"/>
      <c r="N5" s="200"/>
      <c r="O5" s="200"/>
      <c r="P5" s="200"/>
      <c r="Q5" s="204"/>
      <c r="R5" s="205"/>
      <c r="S5" s="205"/>
      <c r="T5" s="201"/>
      <c r="U5" s="201"/>
      <c r="V5" s="201"/>
      <c r="W5" s="202"/>
      <c r="X5" s="203"/>
      <c r="Y5" s="201"/>
    </row>
    <row r="6" spans="1:25" s="5" customFormat="1" ht="13.8" x14ac:dyDescent="0.3">
      <c r="A6" s="1"/>
      <c r="B6" s="1" t="s">
        <v>7</v>
      </c>
      <c r="C6" s="13"/>
      <c r="D6" s="1"/>
      <c r="E6" s="1"/>
      <c r="F6" s="1"/>
      <c r="G6" s="1"/>
      <c r="H6" s="1"/>
      <c r="I6" s="1"/>
      <c r="J6" s="1"/>
      <c r="K6" s="1"/>
      <c r="M6" s="200"/>
      <c r="N6" s="200"/>
      <c r="O6" s="200"/>
      <c r="P6" s="200"/>
      <c r="Q6" s="204"/>
      <c r="R6" s="205"/>
      <c r="S6" s="205"/>
      <c r="T6" s="201"/>
      <c r="U6" s="201"/>
      <c r="V6" s="201"/>
      <c r="W6" s="202"/>
      <c r="X6" s="203"/>
      <c r="Y6" s="201"/>
    </row>
    <row r="7" spans="1:25" s="5" customFormat="1" ht="13.8" x14ac:dyDescent="0.3">
      <c r="A7" s="1"/>
      <c r="B7" s="1"/>
      <c r="C7" s="1"/>
      <c r="D7" s="1"/>
      <c r="E7" s="1"/>
      <c r="F7" s="1"/>
      <c r="G7" s="1"/>
      <c r="H7" s="1"/>
      <c r="I7" s="1"/>
      <c r="J7" s="1"/>
      <c r="K7" s="1"/>
      <c r="M7" s="200"/>
      <c r="N7" s="200"/>
      <c r="O7" s="200"/>
      <c r="P7" s="200"/>
      <c r="Q7" s="204"/>
      <c r="R7" s="205"/>
      <c r="S7" s="205"/>
      <c r="T7" s="201"/>
      <c r="U7" s="201"/>
      <c r="V7" s="201"/>
      <c r="W7" s="202"/>
      <c r="X7" s="203"/>
      <c r="Y7" s="201"/>
    </row>
    <row r="8" spans="1:25" s="5" customFormat="1" ht="13.8" x14ac:dyDescent="0.3">
      <c r="A8" s="14"/>
      <c r="E8" s="7"/>
      <c r="F8" s="8"/>
      <c r="H8" s="15"/>
      <c r="I8" s="7"/>
      <c r="J8" s="16"/>
      <c r="K8" s="17"/>
      <c r="L8" s="18"/>
      <c r="M8" s="200"/>
      <c r="N8" s="200"/>
      <c r="O8" s="200"/>
      <c r="P8" s="200"/>
      <c r="Q8" s="204"/>
      <c r="R8" s="205"/>
      <c r="S8" s="205"/>
      <c r="T8" s="201"/>
      <c r="U8" s="201"/>
      <c r="V8" s="201"/>
      <c r="W8" s="201"/>
      <c r="X8" s="201"/>
      <c r="Y8" s="201"/>
    </row>
    <row r="9" spans="1:25" s="5" customFormat="1" ht="13.8" x14ac:dyDescent="0.3">
      <c r="E9" s="7"/>
      <c r="F9" s="15"/>
      <c r="H9" s="15"/>
      <c r="I9" s="7"/>
      <c r="J9" s="17"/>
      <c r="K9" s="17"/>
      <c r="L9" s="18"/>
      <c r="M9" s="200"/>
      <c r="N9" s="200"/>
      <c r="O9" s="200"/>
      <c r="P9" s="200"/>
      <c r="Q9" s="204"/>
      <c r="R9" s="205"/>
      <c r="S9" s="205"/>
      <c r="T9" s="201"/>
      <c r="U9" s="201"/>
      <c r="V9" s="201"/>
      <c r="W9" s="201"/>
      <c r="X9" s="201"/>
      <c r="Y9" s="201"/>
    </row>
    <row r="10" spans="1:25" s="5" customFormat="1" ht="13.8" x14ac:dyDescent="0.3">
      <c r="E10" s="7"/>
      <c r="F10" s="15"/>
      <c r="H10" s="15"/>
      <c r="I10" s="7"/>
      <c r="J10" s="8"/>
      <c r="K10" s="15"/>
      <c r="L10" s="18"/>
      <c r="M10" s="200"/>
      <c r="N10" s="200"/>
      <c r="O10" s="200"/>
      <c r="P10" s="200"/>
      <c r="Q10" s="204"/>
      <c r="R10" s="205"/>
      <c r="S10" s="205"/>
      <c r="T10" s="201"/>
      <c r="U10" s="201"/>
      <c r="V10" s="201"/>
      <c r="W10" s="201"/>
      <c r="X10" s="201"/>
      <c r="Y10" s="201"/>
    </row>
    <row r="11" spans="1:25" s="5" customFormat="1" ht="13.8" x14ac:dyDescent="0.3">
      <c r="E11" s="7"/>
      <c r="F11" s="15"/>
      <c r="I11" s="19"/>
      <c r="J11" s="8"/>
      <c r="M11" s="200"/>
      <c r="N11" s="200"/>
      <c r="O11" s="200"/>
      <c r="P11" s="200"/>
      <c r="Q11" s="200"/>
      <c r="R11" s="200"/>
      <c r="S11" s="200"/>
      <c r="T11" s="201"/>
      <c r="U11" s="201"/>
      <c r="V11" s="201"/>
      <c r="W11" s="201"/>
      <c r="X11" s="201"/>
      <c r="Y11" s="201"/>
    </row>
    <row r="12" spans="1:25" x14ac:dyDescent="0.3">
      <c r="C12" s="21" t="str">
        <f>G4</f>
        <v>IMPORTANT INFORMATION</v>
      </c>
      <c r="M12" s="200"/>
      <c r="N12" s="200"/>
      <c r="O12" s="200"/>
      <c r="P12" s="200"/>
      <c r="Q12" s="206"/>
      <c r="R12" s="206"/>
      <c r="S12" s="206"/>
    </row>
    <row r="13" spans="1:25" s="5" customFormat="1" ht="13.8" x14ac:dyDescent="0.3">
      <c r="M13" s="200"/>
      <c r="N13" s="200"/>
      <c r="O13" s="200"/>
      <c r="P13" s="200"/>
      <c r="Q13" s="200"/>
      <c r="R13" s="200"/>
      <c r="S13" s="200"/>
      <c r="T13" s="201"/>
      <c r="U13" s="201"/>
      <c r="V13" s="201"/>
      <c r="W13" s="201"/>
      <c r="X13" s="201"/>
      <c r="Y13" s="201"/>
    </row>
    <row r="14" spans="1:25" s="5" customFormat="1" ht="13.8" x14ac:dyDescent="0.3">
      <c r="B14" s="22" t="s">
        <v>132</v>
      </c>
      <c r="M14" s="200"/>
      <c r="N14" s="200"/>
      <c r="O14" s="200"/>
      <c r="P14" s="200"/>
      <c r="Q14" s="200"/>
      <c r="R14" s="200"/>
      <c r="S14" s="200"/>
      <c r="T14" s="201"/>
      <c r="U14" s="201"/>
      <c r="V14" s="201"/>
      <c r="W14" s="201"/>
      <c r="X14" s="201"/>
      <c r="Y14" s="201"/>
    </row>
    <row r="15" spans="1:25" s="5" customFormat="1" ht="13.8" x14ac:dyDescent="0.3">
      <c r="A15" s="23"/>
      <c r="K15" s="23"/>
      <c r="M15" s="204"/>
      <c r="N15" s="204"/>
      <c r="O15" s="204"/>
      <c r="P15" s="204"/>
      <c r="Q15" s="204"/>
      <c r="R15" s="205"/>
      <c r="S15" s="205"/>
      <c r="T15" s="201"/>
      <c r="U15" s="201"/>
      <c r="V15" s="201"/>
      <c r="W15" s="201"/>
      <c r="X15" s="201"/>
      <c r="Y15" s="201"/>
    </row>
    <row r="16" spans="1:25" s="5" customFormat="1" ht="12.75" customHeight="1" x14ac:dyDescent="0.3">
      <c r="B16" s="212" t="s">
        <v>163</v>
      </c>
      <c r="C16" s="212"/>
      <c r="D16" s="212"/>
      <c r="E16" s="212"/>
      <c r="F16" s="212"/>
      <c r="G16" s="212"/>
      <c r="H16" s="212"/>
      <c r="I16" s="212"/>
      <c r="J16" s="212"/>
      <c r="M16" s="204"/>
      <c r="N16" s="204"/>
      <c r="O16" s="204"/>
      <c r="P16" s="204"/>
      <c r="Q16" s="204"/>
      <c r="R16" s="205"/>
      <c r="S16" s="205"/>
      <c r="T16" s="201"/>
      <c r="U16" s="201"/>
      <c r="V16" s="201"/>
      <c r="W16" s="201"/>
      <c r="X16" s="201"/>
      <c r="Y16" s="201"/>
    </row>
    <row r="17" spans="1:25" s="5" customFormat="1" ht="13.8" x14ac:dyDescent="0.3">
      <c r="B17" s="212"/>
      <c r="C17" s="212"/>
      <c r="D17" s="212"/>
      <c r="E17" s="212"/>
      <c r="F17" s="212"/>
      <c r="G17" s="212"/>
      <c r="H17" s="212"/>
      <c r="I17" s="212"/>
      <c r="J17" s="212"/>
      <c r="M17" s="204"/>
      <c r="N17" s="204"/>
      <c r="O17" s="204"/>
      <c r="P17" s="204"/>
      <c r="Q17" s="204"/>
      <c r="R17" s="205"/>
      <c r="S17" s="205"/>
      <c r="T17" s="201"/>
      <c r="U17" s="201"/>
      <c r="V17" s="201"/>
      <c r="W17" s="201"/>
      <c r="X17" s="201"/>
      <c r="Y17" s="201"/>
    </row>
    <row r="18" spans="1:25" s="5" customFormat="1" ht="13.8" x14ac:dyDescent="0.3">
      <c r="B18" s="212"/>
      <c r="C18" s="212"/>
      <c r="D18" s="212"/>
      <c r="E18" s="212"/>
      <c r="F18" s="212"/>
      <c r="G18" s="212"/>
      <c r="H18" s="212"/>
      <c r="I18" s="212"/>
      <c r="J18" s="212"/>
      <c r="M18" s="204"/>
      <c r="N18" s="204"/>
      <c r="O18" s="204"/>
      <c r="P18" s="204"/>
      <c r="Q18" s="204"/>
      <c r="R18" s="205"/>
      <c r="S18" s="205"/>
      <c r="T18" s="201"/>
      <c r="U18" s="201"/>
      <c r="V18" s="201"/>
      <c r="W18" s="201"/>
      <c r="X18" s="201"/>
      <c r="Y18" s="201"/>
    </row>
    <row r="19" spans="1:25" s="5" customFormat="1" ht="13.8" x14ac:dyDescent="0.3">
      <c r="B19" s="212"/>
      <c r="C19" s="212"/>
      <c r="D19" s="212"/>
      <c r="E19" s="212"/>
      <c r="F19" s="212"/>
      <c r="G19" s="212"/>
      <c r="H19" s="212"/>
      <c r="I19" s="212"/>
      <c r="J19" s="212"/>
      <c r="M19" s="204"/>
      <c r="N19" s="204"/>
      <c r="O19" s="204"/>
      <c r="P19" s="204"/>
      <c r="Q19" s="204"/>
      <c r="R19" s="205"/>
      <c r="S19" s="205"/>
      <c r="T19" s="201"/>
      <c r="U19" s="201"/>
      <c r="V19" s="201"/>
      <c r="W19" s="201"/>
      <c r="X19" s="201"/>
      <c r="Y19" s="201"/>
    </row>
    <row r="20" spans="1:25" s="5" customFormat="1" ht="12.75" customHeight="1" x14ac:dyDescent="0.3">
      <c r="A20" s="23"/>
      <c r="B20" s="24" t="s">
        <v>161</v>
      </c>
      <c r="C20" s="23"/>
      <c r="D20" s="23"/>
      <c r="E20" s="23"/>
      <c r="F20" s="23"/>
      <c r="G20" s="23"/>
      <c r="H20" s="23"/>
      <c r="I20" s="23"/>
      <c r="J20" s="23"/>
      <c r="K20" s="23"/>
      <c r="M20" s="204"/>
      <c r="N20" s="204"/>
      <c r="O20" s="204"/>
      <c r="P20" s="204"/>
      <c r="Q20" s="204"/>
      <c r="R20" s="205"/>
      <c r="S20" s="205"/>
      <c r="T20" s="201"/>
      <c r="U20" s="201"/>
      <c r="V20" s="201"/>
      <c r="W20" s="201"/>
      <c r="X20" s="201"/>
      <c r="Y20" s="201"/>
    </row>
    <row r="21" spans="1:25" s="5" customFormat="1" ht="13.8" x14ac:dyDescent="0.3">
      <c r="A21" s="23"/>
      <c r="B21" s="24"/>
      <c r="C21" s="23"/>
      <c r="D21" s="23"/>
      <c r="E21" s="23"/>
      <c r="F21" s="23"/>
      <c r="G21" s="23"/>
      <c r="H21" s="23"/>
      <c r="I21" s="23"/>
      <c r="J21" s="23"/>
      <c r="K21" s="23"/>
      <c r="M21" s="204"/>
      <c r="N21" s="204"/>
      <c r="O21" s="204"/>
      <c r="P21" s="204"/>
      <c r="Q21" s="204"/>
      <c r="R21" s="205"/>
      <c r="S21" s="205"/>
      <c r="T21" s="201"/>
      <c r="U21" s="201"/>
      <c r="V21" s="201"/>
      <c r="W21" s="201"/>
      <c r="X21" s="201"/>
      <c r="Y21" s="201"/>
    </row>
    <row r="22" spans="1:25" s="5" customFormat="1" ht="13.8" x14ac:dyDescent="0.3">
      <c r="A22" s="23"/>
      <c r="B22" s="212" t="s">
        <v>164</v>
      </c>
      <c r="C22" s="212"/>
      <c r="D22" s="212"/>
      <c r="E22" s="212"/>
      <c r="F22" s="212"/>
      <c r="G22" s="212"/>
      <c r="H22" s="212"/>
      <c r="I22" s="212"/>
      <c r="J22" s="212"/>
      <c r="K22" s="23"/>
      <c r="M22" s="204"/>
      <c r="N22" s="204"/>
      <c r="O22" s="204"/>
      <c r="P22" s="204"/>
      <c r="Q22" s="204"/>
      <c r="R22" s="205"/>
      <c r="S22" s="205"/>
      <c r="T22" s="201"/>
      <c r="U22" s="201"/>
      <c r="V22" s="201"/>
      <c r="W22" s="201"/>
      <c r="X22" s="201"/>
      <c r="Y22" s="201"/>
    </row>
    <row r="23" spans="1:25" s="5" customFormat="1" ht="13.8" x14ac:dyDescent="0.3">
      <c r="A23" s="23"/>
      <c r="B23" s="212"/>
      <c r="C23" s="212"/>
      <c r="D23" s="212"/>
      <c r="E23" s="212"/>
      <c r="F23" s="212"/>
      <c r="G23" s="212"/>
      <c r="H23" s="212"/>
      <c r="I23" s="212"/>
      <c r="J23" s="212"/>
      <c r="K23" s="23"/>
      <c r="M23" s="204"/>
      <c r="N23" s="204"/>
      <c r="O23" s="204"/>
      <c r="P23" s="204"/>
      <c r="Q23" s="204"/>
      <c r="R23" s="205"/>
      <c r="S23" s="208"/>
      <c r="T23" s="201"/>
      <c r="U23" s="201"/>
      <c r="V23" s="201"/>
      <c r="W23" s="201"/>
      <c r="X23" s="201"/>
      <c r="Y23" s="201"/>
    </row>
    <row r="24" spans="1:25" s="5" customFormat="1" ht="13.8" x14ac:dyDescent="0.3">
      <c r="A24" s="23"/>
      <c r="B24" s="212"/>
      <c r="C24" s="212"/>
      <c r="D24" s="212"/>
      <c r="E24" s="212"/>
      <c r="F24" s="212"/>
      <c r="G24" s="212"/>
      <c r="H24" s="212"/>
      <c r="I24" s="212"/>
      <c r="J24" s="212"/>
      <c r="K24" s="23"/>
      <c r="M24" s="204"/>
      <c r="N24" s="204"/>
      <c r="O24" s="204"/>
      <c r="P24" s="204"/>
      <c r="Q24" s="204"/>
      <c r="R24" s="205"/>
      <c r="S24" s="208"/>
      <c r="T24" s="201"/>
      <c r="U24" s="201"/>
      <c r="V24" s="201"/>
      <c r="W24" s="201"/>
      <c r="X24" s="201"/>
      <c r="Y24" s="201"/>
    </row>
    <row r="25" spans="1:25" s="5" customFormat="1" ht="12.75" customHeight="1" x14ac:dyDescent="0.3">
      <c r="A25" s="23"/>
      <c r="B25" s="210"/>
      <c r="C25" s="210"/>
      <c r="D25" s="210"/>
      <c r="E25" s="210"/>
      <c r="F25" s="220" t="s">
        <v>165</v>
      </c>
      <c r="G25" s="210"/>
      <c r="H25" s="210"/>
      <c r="I25" s="210"/>
      <c r="J25" s="210"/>
      <c r="K25" s="23"/>
      <c r="M25" s="204"/>
      <c r="N25" s="204"/>
      <c r="O25" s="204"/>
      <c r="P25" s="204"/>
      <c r="Q25" s="204"/>
      <c r="R25" s="205"/>
      <c r="S25" s="205"/>
      <c r="T25" s="201"/>
      <c r="U25" s="201"/>
      <c r="V25" s="201"/>
      <c r="W25" s="201"/>
      <c r="X25" s="201"/>
      <c r="Y25" s="201"/>
    </row>
    <row r="26" spans="1:25" s="5" customFormat="1" ht="13.8" x14ac:dyDescent="0.3">
      <c r="A26" s="23"/>
      <c r="B26" s="212" t="s">
        <v>166</v>
      </c>
      <c r="C26" s="212"/>
      <c r="D26" s="212"/>
      <c r="E26" s="212"/>
      <c r="F26" s="212"/>
      <c r="G26" s="212"/>
      <c r="H26" s="212"/>
      <c r="I26" s="212"/>
      <c r="J26" s="212"/>
      <c r="K26" s="23"/>
      <c r="M26" s="204"/>
      <c r="N26" s="204"/>
      <c r="O26" s="204"/>
      <c r="P26" s="204"/>
      <c r="Q26" s="204"/>
      <c r="R26" s="205"/>
      <c r="S26" s="205"/>
      <c r="T26" s="201"/>
      <c r="U26" s="201"/>
      <c r="V26" s="201"/>
      <c r="W26" s="201"/>
      <c r="X26" s="201"/>
      <c r="Y26" s="201"/>
    </row>
    <row r="27" spans="1:25" s="5" customFormat="1" ht="13.8" x14ac:dyDescent="0.3">
      <c r="A27" s="23"/>
      <c r="B27" s="212"/>
      <c r="C27" s="212"/>
      <c r="D27" s="212"/>
      <c r="E27" s="212"/>
      <c r="F27" s="212"/>
      <c r="G27" s="212"/>
      <c r="H27" s="212"/>
      <c r="I27" s="212"/>
      <c r="J27" s="212"/>
      <c r="K27" s="23"/>
      <c r="M27" s="204"/>
      <c r="N27" s="204"/>
      <c r="O27" s="204"/>
      <c r="P27" s="204"/>
      <c r="Q27" s="204"/>
      <c r="R27" s="205"/>
      <c r="S27" s="205"/>
      <c r="T27" s="201"/>
      <c r="U27" s="201"/>
      <c r="V27" s="201"/>
      <c r="W27" s="201"/>
      <c r="X27" s="201"/>
      <c r="Y27" s="201"/>
    </row>
    <row r="28" spans="1:25" s="5" customFormat="1" ht="13.8" x14ac:dyDescent="0.3">
      <c r="A28" s="23"/>
      <c r="B28" s="210"/>
      <c r="C28" s="210"/>
      <c r="D28" s="210"/>
      <c r="E28" s="210"/>
      <c r="F28" s="210"/>
      <c r="G28" s="210"/>
      <c r="H28" s="210"/>
      <c r="I28" s="210"/>
      <c r="J28" s="210"/>
      <c r="K28" s="23"/>
      <c r="M28" s="204"/>
      <c r="N28" s="204"/>
      <c r="O28" s="204"/>
      <c r="P28" s="204"/>
      <c r="Q28" s="204"/>
      <c r="R28" s="205"/>
      <c r="S28" s="205"/>
      <c r="T28" s="201"/>
      <c r="U28" s="201"/>
      <c r="V28" s="201"/>
      <c r="W28" s="201"/>
      <c r="X28" s="201"/>
      <c r="Y28" s="201"/>
    </row>
    <row r="29" spans="1:25" s="5" customFormat="1" ht="13.8" x14ac:dyDescent="0.3">
      <c r="A29" s="23"/>
      <c r="B29" s="212" t="s">
        <v>167</v>
      </c>
      <c r="C29" s="212"/>
      <c r="D29" s="212"/>
      <c r="E29" s="212"/>
      <c r="F29" s="212"/>
      <c r="G29" s="212"/>
      <c r="H29" s="212"/>
      <c r="I29" s="212"/>
      <c r="J29" s="212"/>
      <c r="K29" s="23"/>
      <c r="M29" s="204"/>
      <c r="N29" s="204"/>
      <c r="O29" s="204"/>
      <c r="P29" s="204"/>
      <c r="Q29" s="204"/>
      <c r="R29" s="205"/>
      <c r="S29" s="205"/>
      <c r="T29" s="201"/>
      <c r="U29" s="201"/>
      <c r="V29" s="201"/>
      <c r="W29" s="201"/>
      <c r="X29" s="201"/>
      <c r="Y29" s="201"/>
    </row>
    <row r="30" spans="1:25" s="5" customFormat="1" ht="13.8" x14ac:dyDescent="0.3">
      <c r="A30" s="23"/>
      <c r="B30" s="212"/>
      <c r="C30" s="212"/>
      <c r="D30" s="212"/>
      <c r="E30" s="212"/>
      <c r="F30" s="212"/>
      <c r="G30" s="212"/>
      <c r="H30" s="212"/>
      <c r="I30" s="212"/>
      <c r="J30" s="212"/>
      <c r="K30" s="23"/>
      <c r="M30" s="204"/>
      <c r="N30" s="204"/>
      <c r="O30" s="204"/>
      <c r="P30" s="204"/>
      <c r="Q30" s="204"/>
      <c r="R30" s="205"/>
      <c r="S30" s="205"/>
      <c r="T30" s="201"/>
      <c r="U30" s="201"/>
      <c r="V30" s="201"/>
      <c r="W30" s="201"/>
      <c r="X30" s="201"/>
      <c r="Y30" s="201"/>
    </row>
    <row r="31" spans="1:25" s="5" customFormat="1" ht="12.75" customHeight="1" x14ac:dyDescent="0.3">
      <c r="A31" s="23"/>
      <c r="B31" s="212"/>
      <c r="C31" s="212"/>
      <c r="D31" s="212"/>
      <c r="E31" s="212"/>
      <c r="F31" s="212"/>
      <c r="G31" s="212"/>
      <c r="H31" s="212"/>
      <c r="I31" s="212"/>
      <c r="J31" s="212"/>
      <c r="K31" s="23"/>
      <c r="M31" s="204"/>
      <c r="N31" s="204"/>
      <c r="O31" s="204"/>
      <c r="P31" s="204"/>
      <c r="Q31" s="204"/>
      <c r="R31" s="205"/>
      <c r="S31" s="205"/>
      <c r="T31" s="201"/>
      <c r="U31" s="201"/>
      <c r="V31" s="201"/>
      <c r="W31" s="201"/>
      <c r="X31" s="201"/>
      <c r="Y31" s="201"/>
    </row>
    <row r="32" spans="1:25" s="5" customFormat="1" ht="13.8" x14ac:dyDescent="0.3">
      <c r="A32" s="23"/>
      <c r="B32" s="212"/>
      <c r="C32" s="212"/>
      <c r="D32" s="212"/>
      <c r="E32" s="212"/>
      <c r="F32" s="212"/>
      <c r="G32" s="212"/>
      <c r="H32" s="212"/>
      <c r="I32" s="212"/>
      <c r="J32" s="212"/>
      <c r="K32" s="23"/>
      <c r="M32" s="204"/>
      <c r="N32" s="204"/>
      <c r="O32" s="204"/>
      <c r="P32" s="204"/>
      <c r="Q32" s="204"/>
      <c r="R32" s="205"/>
      <c r="S32" s="205"/>
      <c r="T32" s="201"/>
      <c r="U32" s="201"/>
      <c r="V32" s="201"/>
      <c r="W32" s="201"/>
      <c r="X32" s="201"/>
      <c r="Y32" s="201"/>
    </row>
    <row r="33" spans="1:25" s="5" customFormat="1" ht="12.75" customHeight="1" x14ac:dyDescent="0.3">
      <c r="A33" s="23"/>
      <c r="B33" s="212"/>
      <c r="C33" s="212"/>
      <c r="D33" s="212"/>
      <c r="E33" s="212"/>
      <c r="F33" s="212"/>
      <c r="G33" s="212"/>
      <c r="H33" s="212"/>
      <c r="I33" s="212"/>
      <c r="J33" s="212"/>
      <c r="K33" s="23"/>
      <c r="M33" s="204"/>
      <c r="N33" s="204"/>
      <c r="O33" s="204"/>
      <c r="P33" s="204"/>
      <c r="Q33" s="204"/>
      <c r="R33" s="205"/>
      <c r="S33" s="205"/>
      <c r="T33" s="201"/>
      <c r="U33" s="201"/>
      <c r="V33" s="201"/>
      <c r="W33" s="201"/>
      <c r="X33" s="201"/>
      <c r="Y33" s="201"/>
    </row>
    <row r="34" spans="1:25" s="5" customFormat="1" ht="13.8" x14ac:dyDescent="0.3">
      <c r="A34" s="23"/>
      <c r="B34" s="210"/>
      <c r="C34" s="210"/>
      <c r="D34" s="211" t="s">
        <v>133</v>
      </c>
      <c r="E34" s="211"/>
      <c r="F34" s="211"/>
      <c r="G34" s="211"/>
      <c r="H34" s="211"/>
      <c r="I34" s="210"/>
      <c r="J34" s="210"/>
      <c r="K34" s="23"/>
      <c r="M34" s="204"/>
      <c r="N34" s="204"/>
      <c r="O34" s="204"/>
      <c r="P34" s="204"/>
      <c r="Q34" s="204"/>
      <c r="R34" s="205"/>
      <c r="S34" s="208"/>
      <c r="T34" s="201"/>
      <c r="U34" s="201"/>
      <c r="V34" s="201"/>
      <c r="W34" s="201"/>
      <c r="X34" s="201"/>
      <c r="Y34" s="201"/>
    </row>
    <row r="35" spans="1:25" s="5" customFormat="1" ht="13.8" x14ac:dyDescent="0.3">
      <c r="A35" s="23"/>
      <c r="B35" s="23"/>
      <c r="C35" s="23"/>
      <c r="I35" s="23"/>
      <c r="J35" s="23"/>
      <c r="K35" s="23"/>
      <c r="M35" s="204"/>
      <c r="N35" s="204"/>
      <c r="O35" s="204"/>
      <c r="P35" s="204"/>
      <c r="Q35" s="204"/>
      <c r="R35" s="205"/>
      <c r="S35" s="208"/>
      <c r="T35" s="201"/>
      <c r="U35" s="201"/>
      <c r="V35" s="201"/>
      <c r="W35" s="201"/>
      <c r="X35" s="201"/>
      <c r="Y35" s="201"/>
    </row>
    <row r="36" spans="1:25" s="5" customFormat="1" ht="12.75" customHeight="1" x14ac:dyDescent="0.3">
      <c r="A36" s="23"/>
      <c r="B36" s="24" t="s">
        <v>134</v>
      </c>
      <c r="C36" s="23"/>
      <c r="D36" s="23"/>
      <c r="E36" s="23"/>
      <c r="F36" s="209"/>
      <c r="G36" s="23"/>
      <c r="H36" s="23"/>
      <c r="I36" s="23"/>
      <c r="J36" s="23"/>
      <c r="K36" s="23"/>
      <c r="M36" s="204"/>
      <c r="N36" s="204"/>
      <c r="O36" s="204"/>
      <c r="P36" s="204"/>
      <c r="Q36" s="204"/>
      <c r="R36" s="205"/>
      <c r="S36" s="205"/>
      <c r="T36" s="201"/>
      <c r="U36" s="201"/>
      <c r="V36" s="201"/>
      <c r="W36" s="201"/>
      <c r="X36" s="201"/>
      <c r="Y36" s="201"/>
    </row>
    <row r="37" spans="1:25" s="5" customFormat="1" ht="13.8" x14ac:dyDescent="0.3">
      <c r="A37" s="23"/>
      <c r="B37" s="24"/>
      <c r="C37" s="23"/>
      <c r="D37" s="23"/>
      <c r="E37" s="23"/>
      <c r="F37" s="209"/>
      <c r="G37" s="23"/>
      <c r="H37" s="23"/>
      <c r="I37" s="23"/>
      <c r="J37" s="23"/>
      <c r="K37" s="23"/>
      <c r="M37" s="204"/>
      <c r="N37" s="204"/>
      <c r="O37" s="204"/>
      <c r="P37" s="204"/>
      <c r="Q37" s="204"/>
      <c r="R37" s="205"/>
      <c r="S37" s="205"/>
      <c r="T37" s="201"/>
      <c r="U37" s="201"/>
      <c r="V37" s="201"/>
      <c r="W37" s="201"/>
      <c r="X37" s="201"/>
      <c r="Y37" s="201"/>
    </row>
    <row r="38" spans="1:25" s="5" customFormat="1" ht="13.8" x14ac:dyDescent="0.3">
      <c r="A38" s="23"/>
      <c r="B38" s="212" t="s">
        <v>168</v>
      </c>
      <c r="C38" s="212"/>
      <c r="D38" s="212"/>
      <c r="E38" s="212"/>
      <c r="F38" s="212"/>
      <c r="G38" s="212"/>
      <c r="H38" s="212"/>
      <c r="I38" s="212"/>
      <c r="J38" s="212"/>
      <c r="K38" s="23"/>
      <c r="M38" s="204"/>
      <c r="N38" s="204"/>
      <c r="O38" s="204"/>
      <c r="P38" s="204"/>
      <c r="Q38" s="204"/>
      <c r="R38" s="205"/>
      <c r="S38" s="205"/>
      <c r="T38" s="201"/>
      <c r="U38" s="201"/>
      <c r="V38" s="201"/>
      <c r="W38" s="201"/>
      <c r="X38" s="201"/>
      <c r="Y38" s="201"/>
    </row>
    <row r="39" spans="1:25" s="5" customFormat="1" ht="13.8" x14ac:dyDescent="0.3">
      <c r="A39" s="23"/>
      <c r="B39" s="212"/>
      <c r="C39" s="212"/>
      <c r="D39" s="212"/>
      <c r="E39" s="212"/>
      <c r="F39" s="212"/>
      <c r="G39" s="212"/>
      <c r="H39" s="212"/>
      <c r="I39" s="212"/>
      <c r="J39" s="212"/>
      <c r="K39" s="23"/>
      <c r="M39" s="204"/>
      <c r="N39" s="204"/>
      <c r="O39" s="204"/>
      <c r="P39" s="204"/>
      <c r="Q39" s="204"/>
      <c r="R39" s="205"/>
      <c r="S39" s="205"/>
      <c r="T39" s="201"/>
      <c r="U39" s="201"/>
      <c r="V39" s="201"/>
      <c r="W39" s="201"/>
      <c r="X39" s="201"/>
      <c r="Y39" s="201"/>
    </row>
    <row r="40" spans="1:25" s="5" customFormat="1" ht="13.8" x14ac:dyDescent="0.3">
      <c r="A40" s="23"/>
      <c r="B40" s="210"/>
      <c r="C40" s="210"/>
      <c r="D40" s="210"/>
      <c r="E40" s="210"/>
      <c r="F40" s="210"/>
      <c r="G40" s="210"/>
      <c r="H40" s="210"/>
      <c r="I40" s="210"/>
      <c r="J40" s="210"/>
      <c r="K40" s="23"/>
      <c r="M40" s="204"/>
      <c r="N40" s="204"/>
      <c r="O40" s="204"/>
      <c r="P40" s="204"/>
      <c r="Q40" s="204"/>
      <c r="R40" s="205"/>
      <c r="S40" s="205"/>
      <c r="T40" s="201"/>
      <c r="U40" s="201"/>
      <c r="V40" s="201"/>
      <c r="W40" s="201"/>
      <c r="X40" s="201"/>
      <c r="Y40" s="201"/>
    </row>
    <row r="41" spans="1:25" s="5" customFormat="1" ht="13.8" x14ac:dyDescent="0.3">
      <c r="A41" s="23"/>
      <c r="B41" s="212" t="s">
        <v>169</v>
      </c>
      <c r="C41" s="212"/>
      <c r="D41" s="212"/>
      <c r="E41" s="212"/>
      <c r="F41" s="212"/>
      <c r="G41" s="212"/>
      <c r="H41" s="212"/>
      <c r="I41" s="212"/>
      <c r="J41" s="212"/>
      <c r="K41" s="23"/>
      <c r="M41" s="204"/>
      <c r="N41" s="204"/>
      <c r="O41" s="204"/>
      <c r="P41" s="204"/>
      <c r="Q41" s="204"/>
      <c r="R41" s="205"/>
      <c r="S41" s="205"/>
      <c r="T41" s="201"/>
      <c r="U41" s="201"/>
      <c r="V41" s="201"/>
      <c r="W41" s="201"/>
      <c r="X41" s="201"/>
      <c r="Y41" s="201"/>
    </row>
    <row r="42" spans="1:25" s="5" customFormat="1" ht="13.8" x14ac:dyDescent="0.3">
      <c r="A42" s="23"/>
      <c r="B42" s="212"/>
      <c r="C42" s="212"/>
      <c r="D42" s="212"/>
      <c r="E42" s="212"/>
      <c r="F42" s="212"/>
      <c r="G42" s="212"/>
      <c r="H42" s="212"/>
      <c r="I42" s="212"/>
      <c r="J42" s="212"/>
      <c r="K42" s="23"/>
      <c r="M42" s="204"/>
      <c r="N42" s="204"/>
      <c r="O42" s="204"/>
      <c r="P42" s="204"/>
      <c r="Q42" s="204"/>
      <c r="R42" s="205"/>
      <c r="S42" s="205"/>
      <c r="T42" s="201"/>
      <c r="U42" s="201"/>
      <c r="V42" s="201"/>
      <c r="W42" s="201"/>
      <c r="X42" s="201"/>
      <c r="Y42" s="201"/>
    </row>
    <row r="43" spans="1:25" s="5" customFormat="1" ht="13.8" x14ac:dyDescent="0.3">
      <c r="A43" s="23"/>
      <c r="B43" s="212"/>
      <c r="C43" s="212"/>
      <c r="D43" s="212"/>
      <c r="E43" s="212"/>
      <c r="F43" s="212"/>
      <c r="G43" s="212"/>
      <c r="H43" s="212"/>
      <c r="I43" s="212"/>
      <c r="J43" s="212"/>
      <c r="K43" s="23"/>
      <c r="M43" s="204"/>
      <c r="N43" s="204"/>
      <c r="O43" s="204"/>
      <c r="P43" s="204"/>
      <c r="Q43" s="204"/>
      <c r="R43" s="205"/>
      <c r="S43" s="205"/>
      <c r="T43" s="201"/>
      <c r="U43" s="201"/>
      <c r="V43" s="201"/>
      <c r="W43" s="201"/>
      <c r="X43" s="201"/>
      <c r="Y43" s="201"/>
    </row>
    <row r="44" spans="1:25" s="5" customFormat="1" ht="13.8" x14ac:dyDescent="0.3">
      <c r="A44" s="23"/>
      <c r="B44" s="210"/>
      <c r="C44" s="210"/>
      <c r="D44" s="210"/>
      <c r="E44" s="210"/>
      <c r="F44" s="210"/>
      <c r="G44" s="210"/>
      <c r="H44" s="210"/>
      <c r="I44" s="210"/>
      <c r="J44" s="210"/>
      <c r="K44" s="23"/>
      <c r="M44" s="204"/>
      <c r="N44" s="204"/>
      <c r="O44" s="204"/>
      <c r="P44" s="204"/>
      <c r="Q44" s="204"/>
      <c r="R44" s="205"/>
      <c r="S44" s="205"/>
      <c r="T44" s="201"/>
      <c r="U44" s="201"/>
      <c r="V44" s="201"/>
      <c r="W44" s="201"/>
      <c r="X44" s="201"/>
      <c r="Y44" s="201"/>
    </row>
    <row r="45" spans="1:25" s="5" customFormat="1" ht="12.75" customHeight="1" x14ac:dyDescent="0.3">
      <c r="A45" s="23"/>
      <c r="B45" s="212" t="s">
        <v>162</v>
      </c>
      <c r="C45" s="212"/>
      <c r="D45" s="212"/>
      <c r="E45" s="212"/>
      <c r="F45" s="212"/>
      <c r="G45" s="212"/>
      <c r="H45" s="212"/>
      <c r="I45" s="212"/>
      <c r="J45" s="212"/>
      <c r="K45" s="23"/>
      <c r="M45" s="204"/>
      <c r="N45" s="204"/>
      <c r="O45" s="204"/>
      <c r="P45" s="204"/>
      <c r="Q45" s="204"/>
      <c r="R45" s="205"/>
      <c r="S45" s="205"/>
      <c r="T45" s="201"/>
      <c r="U45" s="201"/>
      <c r="V45" s="201"/>
      <c r="W45" s="201"/>
      <c r="X45" s="201"/>
      <c r="Y45" s="201"/>
    </row>
    <row r="46" spans="1:25" s="5" customFormat="1" ht="13.8" x14ac:dyDescent="0.3">
      <c r="A46" s="23"/>
      <c r="B46" s="212"/>
      <c r="C46" s="212"/>
      <c r="D46" s="212"/>
      <c r="E46" s="212"/>
      <c r="F46" s="212"/>
      <c r="G46" s="212"/>
      <c r="H46" s="212"/>
      <c r="I46" s="212"/>
      <c r="J46" s="212"/>
      <c r="K46" s="23"/>
      <c r="M46" s="204"/>
      <c r="N46" s="204"/>
      <c r="O46" s="204"/>
      <c r="P46" s="204"/>
      <c r="Q46" s="204"/>
      <c r="R46" s="205"/>
      <c r="S46" s="205"/>
      <c r="T46" s="201"/>
      <c r="U46" s="201"/>
      <c r="V46" s="201"/>
      <c r="W46" s="201"/>
      <c r="X46" s="201"/>
      <c r="Y46" s="201"/>
    </row>
    <row r="47" spans="1:25" s="5" customFormat="1" ht="13.8" x14ac:dyDescent="0.3">
      <c r="A47" s="23"/>
      <c r="B47" s="212"/>
      <c r="C47" s="212"/>
      <c r="D47" s="212"/>
      <c r="E47" s="212"/>
      <c r="F47" s="212"/>
      <c r="G47" s="212"/>
      <c r="H47" s="212"/>
      <c r="I47" s="212"/>
      <c r="J47" s="212"/>
      <c r="K47" s="23"/>
      <c r="M47" s="204"/>
      <c r="N47" s="204"/>
      <c r="O47" s="204"/>
      <c r="P47" s="204"/>
      <c r="Q47" s="204"/>
      <c r="R47" s="205"/>
      <c r="S47" s="205"/>
      <c r="T47" s="201"/>
      <c r="U47" s="201"/>
      <c r="V47" s="201"/>
      <c r="W47" s="201"/>
      <c r="X47" s="201"/>
      <c r="Y47" s="201"/>
    </row>
    <row r="48" spans="1:25" s="5" customFormat="1" ht="12.75" customHeight="1" x14ac:dyDescent="0.3">
      <c r="A48" s="23"/>
      <c r="B48" s="212"/>
      <c r="C48" s="212"/>
      <c r="D48" s="212"/>
      <c r="E48" s="212"/>
      <c r="F48" s="212"/>
      <c r="G48" s="212"/>
      <c r="H48" s="212"/>
      <c r="I48" s="212"/>
      <c r="J48" s="212"/>
      <c r="K48" s="23"/>
      <c r="M48" s="204"/>
      <c r="N48" s="204"/>
      <c r="O48" s="204"/>
      <c r="P48" s="204"/>
      <c r="Q48" s="204"/>
      <c r="R48" s="205"/>
      <c r="S48" s="205"/>
      <c r="T48" s="201"/>
      <c r="U48" s="201"/>
      <c r="V48" s="201"/>
      <c r="W48" s="201"/>
      <c r="X48" s="201"/>
      <c r="Y48" s="201"/>
    </row>
    <row r="49" spans="1:25" s="5" customFormat="1" ht="13.8" x14ac:dyDescent="0.3">
      <c r="A49" s="23"/>
      <c r="B49" s="23" t="s">
        <v>170</v>
      </c>
      <c r="C49" s="23"/>
      <c r="D49" s="23"/>
      <c r="E49" s="23"/>
      <c r="F49" s="23"/>
      <c r="G49" s="23"/>
      <c r="H49" s="23"/>
      <c r="I49" s="23"/>
      <c r="J49" s="23"/>
      <c r="K49" s="23"/>
      <c r="M49" s="204"/>
      <c r="N49" s="204"/>
      <c r="O49" s="204"/>
      <c r="P49" s="204"/>
      <c r="Q49" s="204"/>
      <c r="R49" s="205"/>
      <c r="S49" s="205"/>
      <c r="T49" s="201"/>
      <c r="U49" s="201"/>
      <c r="V49" s="201"/>
      <c r="W49" s="201"/>
      <c r="X49" s="201"/>
      <c r="Y49" s="201"/>
    </row>
    <row r="50" spans="1:25" s="5" customFormat="1" ht="13.8" x14ac:dyDescent="0.3">
      <c r="A50" s="23"/>
      <c r="B50" s="23"/>
      <c r="C50" s="23"/>
      <c r="D50" s="23"/>
      <c r="F50" s="220" t="s">
        <v>171</v>
      </c>
      <c r="G50" s="209"/>
      <c r="H50" s="23"/>
      <c r="I50" s="23"/>
      <c r="J50" s="23"/>
      <c r="K50" s="23"/>
      <c r="M50" s="204"/>
      <c r="N50" s="204"/>
      <c r="O50" s="204"/>
      <c r="P50" s="204"/>
      <c r="Q50" s="204"/>
      <c r="R50" s="205"/>
      <c r="S50" s="205"/>
      <c r="T50" s="201"/>
      <c r="U50" s="201"/>
      <c r="V50" s="201"/>
      <c r="W50" s="201"/>
      <c r="X50" s="201"/>
      <c r="Y50" s="201"/>
    </row>
    <row r="51" spans="1:25" s="5" customFormat="1" ht="13.8" x14ac:dyDescent="0.3">
      <c r="A51" s="23"/>
      <c r="B51" s="23"/>
      <c r="C51" s="23"/>
      <c r="D51" s="23"/>
      <c r="E51" s="23"/>
      <c r="F51" s="23"/>
      <c r="G51" s="23"/>
      <c r="H51" s="23"/>
      <c r="I51" s="23"/>
      <c r="J51" s="23"/>
      <c r="K51" s="23"/>
      <c r="M51" s="204"/>
      <c r="N51" s="204"/>
      <c r="O51" s="204"/>
      <c r="P51" s="204"/>
      <c r="Q51" s="204"/>
      <c r="R51" s="205"/>
      <c r="S51" s="205"/>
      <c r="T51" s="201"/>
      <c r="U51" s="201"/>
      <c r="V51" s="201"/>
      <c r="W51" s="201"/>
      <c r="X51" s="201"/>
      <c r="Y51" s="201"/>
    </row>
    <row r="52" spans="1:25" s="5" customFormat="1" ht="12.75" customHeight="1" x14ac:dyDescent="0.3">
      <c r="A52" s="23"/>
      <c r="B52" s="24" t="s">
        <v>172</v>
      </c>
      <c r="C52" s="23"/>
      <c r="D52" s="23"/>
      <c r="E52" s="23"/>
      <c r="F52" s="23"/>
      <c r="G52" s="23"/>
      <c r="H52" s="23"/>
      <c r="I52" s="23"/>
      <c r="J52" s="23"/>
      <c r="K52" s="23"/>
      <c r="M52" s="204"/>
      <c r="N52" s="204"/>
      <c r="O52" s="204"/>
      <c r="P52" s="204"/>
      <c r="Q52" s="204"/>
      <c r="R52" s="205"/>
      <c r="S52" s="205"/>
      <c r="T52" s="201"/>
      <c r="U52" s="201"/>
      <c r="V52" s="201"/>
      <c r="W52" s="201"/>
      <c r="X52" s="201"/>
      <c r="Y52" s="201"/>
    </row>
    <row r="53" spans="1:25" s="5" customFormat="1" ht="13.8" x14ac:dyDescent="0.3">
      <c r="A53" s="23"/>
      <c r="B53" s="23"/>
      <c r="C53" s="23"/>
      <c r="D53" s="23"/>
      <c r="E53" s="23"/>
      <c r="F53" s="23"/>
      <c r="G53" s="23"/>
      <c r="H53" s="23"/>
      <c r="I53" s="23"/>
      <c r="J53" s="23"/>
      <c r="K53" s="23"/>
      <c r="M53" s="204"/>
      <c r="N53" s="204"/>
      <c r="O53" s="204"/>
      <c r="P53" s="204"/>
      <c r="Q53" s="204"/>
      <c r="R53" s="205"/>
      <c r="S53" s="205"/>
      <c r="T53" s="201"/>
      <c r="U53" s="201"/>
      <c r="V53" s="201"/>
      <c r="W53" s="201"/>
      <c r="X53" s="201"/>
      <c r="Y53" s="201"/>
    </row>
    <row r="54" spans="1:25" s="5" customFormat="1" ht="13.8" x14ac:dyDescent="0.3">
      <c r="A54" s="23"/>
      <c r="B54" s="221" t="s">
        <v>173</v>
      </c>
      <c r="C54" s="221"/>
      <c r="D54" s="221"/>
      <c r="E54" s="221"/>
      <c r="F54" s="221"/>
      <c r="G54" s="221"/>
      <c r="H54" s="221"/>
      <c r="I54" s="221"/>
      <c r="J54" s="221"/>
      <c r="K54" s="23"/>
      <c r="M54" s="204"/>
      <c r="N54" s="204"/>
      <c r="O54" s="204"/>
      <c r="P54" s="204"/>
      <c r="Q54" s="204"/>
      <c r="R54" s="205"/>
      <c r="S54" s="205"/>
      <c r="T54" s="201"/>
      <c r="U54" s="201"/>
      <c r="V54" s="201"/>
      <c r="W54" s="201"/>
      <c r="X54" s="201"/>
      <c r="Y54" s="201"/>
    </row>
    <row r="55" spans="1:25" s="5" customFormat="1" ht="13.8" x14ac:dyDescent="0.3">
      <c r="A55" s="23"/>
      <c r="B55" s="221"/>
      <c r="C55" s="221"/>
      <c r="D55" s="221"/>
      <c r="E55" s="221"/>
      <c r="F55" s="221"/>
      <c r="G55" s="221"/>
      <c r="H55" s="221"/>
      <c r="I55" s="221"/>
      <c r="J55" s="221"/>
      <c r="K55" s="23"/>
      <c r="M55" s="204"/>
      <c r="N55" s="204"/>
      <c r="O55" s="204"/>
      <c r="P55" s="204"/>
      <c r="Q55" s="204"/>
      <c r="R55" s="205"/>
      <c r="S55" s="205"/>
      <c r="T55" s="201"/>
      <c r="U55" s="201"/>
      <c r="V55" s="201"/>
      <c r="W55" s="201"/>
      <c r="X55" s="201"/>
      <c r="Y55" s="201"/>
    </row>
    <row r="56" spans="1:25" s="5" customFormat="1" ht="13.8" x14ac:dyDescent="0.3">
      <c r="A56" s="23"/>
      <c r="B56" s="221"/>
      <c r="C56" s="221"/>
      <c r="D56" s="221"/>
      <c r="E56" s="221"/>
      <c r="F56" s="221"/>
      <c r="G56" s="221"/>
      <c r="H56" s="221"/>
      <c r="I56" s="221"/>
      <c r="J56" s="221"/>
      <c r="K56" s="23"/>
      <c r="M56" s="204"/>
      <c r="N56" s="204"/>
      <c r="O56"/>
      <c r="P56" s="204"/>
      <c r="Q56" s="204"/>
      <c r="R56" s="205"/>
      <c r="S56" s="205"/>
      <c r="T56" s="201"/>
      <c r="U56" s="201"/>
      <c r="V56" s="201"/>
      <c r="W56" s="201"/>
      <c r="X56" s="201"/>
      <c r="Y56" s="201"/>
    </row>
    <row r="57" spans="1:25" s="5" customFormat="1" ht="13.8" x14ac:dyDescent="0.3">
      <c r="A57" s="23"/>
      <c r="B57" s="23"/>
      <c r="C57" s="23"/>
      <c r="D57" s="23"/>
      <c r="F57" s="209"/>
      <c r="G57" s="23"/>
      <c r="H57" s="23"/>
      <c r="I57" s="23"/>
      <c r="J57" s="23"/>
      <c r="K57" s="23"/>
      <c r="M57" s="204"/>
      <c r="N57" s="204"/>
      <c r="O57" s="204"/>
      <c r="P57" s="204"/>
      <c r="Q57" s="204"/>
      <c r="R57" s="205"/>
      <c r="S57" s="205"/>
      <c r="T57" s="201"/>
      <c r="U57" s="201"/>
      <c r="V57" s="201"/>
      <c r="W57" s="201"/>
      <c r="X57" s="201"/>
      <c r="Y57" s="201"/>
    </row>
    <row r="58" spans="1:25" s="5" customFormat="1" ht="13.8" x14ac:dyDescent="0.3">
      <c r="A58" s="23"/>
      <c r="B58" s="23"/>
      <c r="C58" s="23"/>
      <c r="D58" s="23"/>
      <c r="E58" s="23"/>
      <c r="F58" s="23"/>
      <c r="G58" s="23"/>
      <c r="H58" s="23"/>
      <c r="I58" s="23"/>
      <c r="J58" s="23"/>
      <c r="K58" s="23"/>
      <c r="M58" s="204"/>
      <c r="N58" s="204"/>
      <c r="O58" s="204"/>
      <c r="P58" s="204"/>
      <c r="Q58" s="204"/>
      <c r="R58" s="205"/>
      <c r="S58" s="205"/>
      <c r="T58" s="201"/>
      <c r="U58" s="201"/>
      <c r="V58" s="201"/>
      <c r="W58" s="201"/>
      <c r="X58" s="201"/>
      <c r="Y58" s="201"/>
    </row>
    <row r="59" spans="1:25" s="5" customFormat="1" ht="13.8" x14ac:dyDescent="0.3">
      <c r="K59" s="23"/>
      <c r="M59" s="204"/>
      <c r="N59" s="204"/>
      <c r="O59" s="222"/>
      <c r="P59" s="204"/>
      <c r="Q59" s="204"/>
      <c r="R59" s="205"/>
      <c r="S59" s="205"/>
      <c r="T59" s="201"/>
      <c r="U59" s="201"/>
      <c r="V59" s="201"/>
      <c r="W59" s="201"/>
      <c r="X59" s="201"/>
      <c r="Y59" s="201"/>
    </row>
    <row r="60" spans="1:25" s="5" customFormat="1" ht="13.8" x14ac:dyDescent="0.3">
      <c r="A60" s="23"/>
      <c r="B60" s="23" t="s">
        <v>174</v>
      </c>
      <c r="C60" s="23"/>
      <c r="D60" s="23"/>
      <c r="E60" s="23"/>
      <c r="F60" s="23"/>
      <c r="G60" s="23"/>
      <c r="H60" s="23"/>
      <c r="I60" s="23"/>
      <c r="J60" s="23"/>
      <c r="K60" s="23"/>
      <c r="M60" s="204"/>
      <c r="N60" s="204"/>
      <c r="O60" s="204"/>
      <c r="P60" s="204"/>
      <c r="Q60" s="204"/>
      <c r="R60" s="205"/>
      <c r="S60" s="205"/>
      <c r="T60" s="201"/>
      <c r="U60" s="201"/>
      <c r="V60" s="201"/>
      <c r="W60" s="201"/>
      <c r="X60" s="201"/>
      <c r="Y60" s="201"/>
    </row>
    <row r="61" spans="1:25" s="5" customFormat="1" ht="13.8" x14ac:dyDescent="0.3">
      <c r="A61" s="23"/>
      <c r="C61" s="23"/>
      <c r="D61" s="23"/>
      <c r="F61" s="220" t="s">
        <v>175</v>
      </c>
      <c r="G61" s="194"/>
      <c r="H61" s="23"/>
      <c r="I61" s="23"/>
      <c r="J61" s="23"/>
      <c r="K61" s="23"/>
      <c r="M61" s="204"/>
      <c r="N61" s="204"/>
      <c r="O61" s="204"/>
      <c r="P61" s="204"/>
      <c r="Q61" s="204"/>
      <c r="R61" s="205"/>
      <c r="S61" s="205"/>
      <c r="T61" s="201"/>
      <c r="U61" s="201"/>
      <c r="V61" s="201"/>
      <c r="W61" s="201"/>
      <c r="X61" s="201"/>
      <c r="Y61" s="201"/>
    </row>
    <row r="62" spans="1:25" s="5" customFormat="1" ht="13.8" x14ac:dyDescent="0.3">
      <c r="A62" s="23"/>
      <c r="B62" s="23"/>
      <c r="C62" s="23"/>
      <c r="D62" s="23"/>
      <c r="E62" s="23"/>
      <c r="F62" s="23"/>
      <c r="G62" s="23"/>
      <c r="H62" s="23"/>
      <c r="I62" s="23"/>
      <c r="J62" s="23"/>
      <c r="K62" s="23"/>
      <c r="M62" s="204"/>
      <c r="N62" s="204"/>
      <c r="O62" s="204"/>
      <c r="P62" s="204"/>
      <c r="Q62" s="204"/>
      <c r="R62" s="205"/>
      <c r="S62" s="205"/>
      <c r="T62" s="201"/>
      <c r="U62" s="201"/>
      <c r="V62" s="201"/>
      <c r="W62" s="201"/>
      <c r="X62" s="201"/>
      <c r="Y62" s="20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BJ963"/>
  <sheetViews>
    <sheetView tabSelected="1" view="pageBreakPreview" zoomScaleNormal="85" zoomScaleSheetLayoutView="100" workbookViewId="0">
      <selection activeCell="H6" sqref="H6"/>
    </sheetView>
  </sheetViews>
  <sheetFormatPr defaultColWidth="9.109375" defaultRowHeight="13.8" x14ac:dyDescent="0.3"/>
  <cols>
    <col min="1" max="11" width="9" style="27" customWidth="1"/>
    <col min="12" max="12" width="4" style="30" customWidth="1"/>
    <col min="13" max="13" width="4" style="34" customWidth="1"/>
    <col min="14" max="14" width="4" style="31" customWidth="1"/>
    <col min="15" max="15" width="4" style="184" customWidth="1"/>
    <col min="16" max="16" width="4" style="34" customWidth="1"/>
    <col min="17" max="17" width="4" style="44" customWidth="1"/>
    <col min="18" max="18" width="3.5546875" style="44" bestFit="1" customWidth="1"/>
    <col min="19" max="19" width="5.5546875" style="34" bestFit="1" customWidth="1"/>
    <col min="20" max="20" width="6.88671875" style="27" customWidth="1"/>
    <col min="21" max="22" width="6.88671875" style="30" customWidth="1"/>
    <col min="23" max="23" width="9.6640625" style="30" customWidth="1"/>
    <col min="24" max="59" width="6.88671875" style="30" customWidth="1"/>
    <col min="60" max="16384" width="9.109375" style="30"/>
  </cols>
  <sheetData>
    <row r="1" spans="1:39" s="5" customFormat="1" x14ac:dyDescent="0.3">
      <c r="A1" s="1"/>
      <c r="B1" s="2" t="s">
        <v>1</v>
      </c>
      <c r="C1" s="3" t="s">
        <v>0</v>
      </c>
      <c r="D1" s="1"/>
      <c r="E1" s="1"/>
      <c r="F1" s="2" t="s">
        <v>118</v>
      </c>
      <c r="G1" s="4">
        <f>X1</f>
        <v>15</v>
      </c>
      <c r="H1" s="1"/>
      <c r="I1" s="1"/>
      <c r="J1" s="1"/>
      <c r="K1" s="1"/>
      <c r="M1" s="6" t="s">
        <v>13</v>
      </c>
      <c r="N1" s="6" t="s">
        <v>14</v>
      </c>
      <c r="O1" s="6" t="s">
        <v>15</v>
      </c>
      <c r="P1" s="6" t="s">
        <v>15</v>
      </c>
      <c r="Q1" s="6" t="s">
        <v>15</v>
      </c>
      <c r="R1" s="6" t="s">
        <v>16</v>
      </c>
      <c r="S1" s="185" t="s">
        <v>17</v>
      </c>
      <c r="T1" s="186" t="s">
        <v>119</v>
      </c>
      <c r="W1" s="7" t="s">
        <v>120</v>
      </c>
      <c r="X1" s="8">
        <f>SUM(M:M)</f>
        <v>15</v>
      </c>
    </row>
    <row r="2" spans="1:39" s="5" customFormat="1" x14ac:dyDescent="0.3">
      <c r="A2" s="1"/>
      <c r="B2" s="2" t="s">
        <v>2</v>
      </c>
      <c r="C2" s="3" t="s">
        <v>10</v>
      </c>
      <c r="D2" s="1"/>
      <c r="E2" s="1"/>
      <c r="F2" s="2" t="s">
        <v>5</v>
      </c>
      <c r="G2" s="3" t="s">
        <v>137</v>
      </c>
      <c r="H2" s="1"/>
      <c r="I2" s="1"/>
      <c r="J2" s="1"/>
      <c r="K2" s="1"/>
      <c r="M2" s="9" t="s">
        <v>18</v>
      </c>
      <c r="N2" s="9" t="s">
        <v>18</v>
      </c>
      <c r="O2" s="9" t="s">
        <v>14</v>
      </c>
      <c r="P2" s="9" t="s">
        <v>14</v>
      </c>
      <c r="Q2" s="9" t="s">
        <v>14</v>
      </c>
      <c r="R2" s="9" t="s">
        <v>18</v>
      </c>
      <c r="S2" s="187" t="s">
        <v>18</v>
      </c>
      <c r="T2" s="188"/>
      <c r="W2" s="7" t="s">
        <v>121</v>
      </c>
      <c r="X2" s="8">
        <f>SUM(N:N)</f>
        <v>0</v>
      </c>
    </row>
    <row r="3" spans="1:39" s="5" customFormat="1" x14ac:dyDescent="0.3">
      <c r="A3" s="1"/>
      <c r="B3" s="2" t="s">
        <v>3</v>
      </c>
      <c r="C3" s="10" t="s">
        <v>122</v>
      </c>
      <c r="D3" s="1"/>
      <c r="E3" s="1"/>
      <c r="F3" s="2" t="s">
        <v>4</v>
      </c>
      <c r="G3" s="3" t="s">
        <v>123</v>
      </c>
      <c r="H3" s="1"/>
      <c r="I3" s="1"/>
      <c r="J3" s="1"/>
      <c r="K3" s="1"/>
      <c r="M3" s="9"/>
      <c r="N3" s="9"/>
      <c r="O3" s="9"/>
      <c r="P3" s="9"/>
      <c r="Q3" s="9"/>
      <c r="R3" s="9"/>
      <c r="S3" s="187"/>
      <c r="T3" s="188"/>
      <c r="W3" s="7" t="s">
        <v>124</v>
      </c>
      <c r="X3" s="8">
        <f>SUM(O:O)</f>
        <v>0</v>
      </c>
    </row>
    <row r="4" spans="1:39" s="5" customFormat="1" x14ac:dyDescent="0.3">
      <c r="A4" s="1"/>
      <c r="B4" s="2" t="s">
        <v>125</v>
      </c>
      <c r="C4" s="4"/>
      <c r="D4" s="1"/>
      <c r="E4" s="1"/>
      <c r="F4" s="2" t="s">
        <v>126</v>
      </c>
      <c r="G4" s="3" t="s">
        <v>158</v>
      </c>
      <c r="H4" s="1"/>
      <c r="I4" s="1"/>
      <c r="J4" s="1"/>
      <c r="K4" s="1"/>
      <c r="M4" s="9"/>
      <c r="N4" s="9"/>
      <c r="O4" s="9"/>
      <c r="P4" s="9"/>
      <c r="Q4" s="11"/>
      <c r="R4" s="12"/>
      <c r="S4" s="189"/>
      <c r="T4" s="188"/>
      <c r="W4" s="7" t="s">
        <v>124</v>
      </c>
      <c r="X4" s="8">
        <f>SUM(P:P)</f>
        <v>0</v>
      </c>
    </row>
    <row r="5" spans="1:39" s="5" customFormat="1" x14ac:dyDescent="0.3">
      <c r="A5" s="1"/>
      <c r="B5" s="2" t="s">
        <v>128</v>
      </c>
      <c r="C5" s="4" t="s">
        <v>157</v>
      </c>
      <c r="D5" s="1"/>
      <c r="E5" s="2"/>
      <c r="F5" s="1"/>
      <c r="G5" s="1"/>
      <c r="H5" s="1"/>
      <c r="I5" s="1"/>
      <c r="J5" s="1"/>
      <c r="K5" s="1"/>
      <c r="M5" s="9"/>
      <c r="N5" s="9"/>
      <c r="O5" s="9"/>
      <c r="P5" s="9"/>
      <c r="Q5" s="11"/>
      <c r="R5" s="12"/>
      <c r="S5" s="189"/>
      <c r="T5" s="188"/>
      <c r="W5" s="7" t="s">
        <v>124</v>
      </c>
      <c r="X5" s="8">
        <f>SUM(Q:Q)</f>
        <v>0</v>
      </c>
    </row>
    <row r="6" spans="1:39" s="5" customFormat="1" x14ac:dyDescent="0.3">
      <c r="A6" s="1"/>
      <c r="B6" s="1" t="s">
        <v>7</v>
      </c>
      <c r="C6" s="13"/>
      <c r="D6" s="1"/>
      <c r="E6" s="1"/>
      <c r="F6" s="1"/>
      <c r="G6" s="1"/>
      <c r="H6" s="1"/>
      <c r="I6" s="1"/>
      <c r="J6" s="1"/>
      <c r="K6" s="1"/>
      <c r="M6" s="9"/>
      <c r="N6" s="9"/>
      <c r="O6" s="9"/>
      <c r="P6" s="9"/>
      <c r="Q6" s="11"/>
      <c r="R6" s="12"/>
      <c r="S6" s="189"/>
      <c r="T6" s="188"/>
      <c r="W6" s="7" t="s">
        <v>129</v>
      </c>
      <c r="X6" s="8">
        <f>SUM(R:R)</f>
        <v>0</v>
      </c>
    </row>
    <row r="7" spans="1:39" s="5" customFormat="1" x14ac:dyDescent="0.3">
      <c r="A7" s="1"/>
      <c r="B7" s="1"/>
      <c r="C7" s="1"/>
      <c r="D7" s="1"/>
      <c r="E7" s="1"/>
      <c r="F7" s="1"/>
      <c r="G7" s="1"/>
      <c r="H7" s="1"/>
      <c r="I7" s="1"/>
      <c r="J7" s="1"/>
      <c r="K7" s="1"/>
      <c r="M7" s="9"/>
      <c r="N7" s="9"/>
      <c r="O7" s="9"/>
      <c r="P7" s="9"/>
      <c r="Q7" s="11"/>
      <c r="R7" s="12"/>
      <c r="S7" s="189"/>
      <c r="T7" s="188"/>
      <c r="W7" s="7" t="s">
        <v>130</v>
      </c>
      <c r="X7" s="8">
        <f>SUM(S:S)</f>
        <v>0</v>
      </c>
    </row>
    <row r="8" spans="1:39" s="5" customFormat="1" x14ac:dyDescent="0.3">
      <c r="A8" s="14"/>
      <c r="E8" s="7" t="s">
        <v>1</v>
      </c>
      <c r="F8" s="8" t="str">
        <f>$C$1</f>
        <v>R. Abbott</v>
      </c>
      <c r="H8" s="15"/>
      <c r="I8" s="7" t="s">
        <v>8</v>
      </c>
      <c r="J8" s="16" t="str">
        <f>$G$2</f>
        <v>AA-SM-503</v>
      </c>
      <c r="K8" s="17"/>
      <c r="L8" s="18"/>
      <c r="M8" s="9"/>
      <c r="N8" s="9"/>
      <c r="O8" s="9"/>
      <c r="P8" s="9"/>
      <c r="Q8" s="9"/>
      <c r="R8" s="9"/>
      <c r="S8" s="9"/>
      <c r="T8" s="9"/>
    </row>
    <row r="9" spans="1:39" s="5" customFormat="1" x14ac:dyDescent="0.3">
      <c r="E9" s="7" t="s">
        <v>2</v>
      </c>
      <c r="F9" s="15" t="str">
        <f>$C$2</f>
        <v xml:space="preserve"> </v>
      </c>
      <c r="H9" s="15"/>
      <c r="I9" s="7" t="s">
        <v>9</v>
      </c>
      <c r="J9" s="17" t="str">
        <f>$G$3</f>
        <v>IR</v>
      </c>
      <c r="K9" s="17"/>
      <c r="L9" s="18"/>
      <c r="M9" s="9">
        <v>1</v>
      </c>
      <c r="N9" s="9"/>
      <c r="O9" s="9"/>
      <c r="P9" s="9"/>
      <c r="Q9" s="9"/>
      <c r="R9" s="9"/>
      <c r="S9" s="9"/>
      <c r="T9" s="9"/>
    </row>
    <row r="10" spans="1:39" s="5" customFormat="1" x14ac:dyDescent="0.3">
      <c r="E10" s="7" t="s">
        <v>3</v>
      </c>
      <c r="F10" s="15" t="str">
        <f>$C$3</f>
        <v>20/10/2013</v>
      </c>
      <c r="H10" s="15"/>
      <c r="I10" s="7" t="s">
        <v>6</v>
      </c>
      <c r="J10" s="8" t="str">
        <f>L10&amp;" of "&amp;$G$1</f>
        <v>1 of 15</v>
      </c>
      <c r="K10" s="15"/>
      <c r="L10" s="18">
        <f>SUM($M$1:M9)</f>
        <v>1</v>
      </c>
      <c r="M10" s="9"/>
      <c r="N10" s="9"/>
      <c r="O10" s="9"/>
      <c r="P10" s="9"/>
      <c r="Q10" s="9"/>
      <c r="R10" s="9"/>
      <c r="S10" s="9"/>
      <c r="T10" s="9"/>
    </row>
    <row r="11" spans="1:39" s="5" customFormat="1" x14ac:dyDescent="0.3">
      <c r="A11" s="27"/>
      <c r="B11" s="27"/>
      <c r="C11" s="27"/>
      <c r="D11" s="27"/>
      <c r="E11" s="7" t="s">
        <v>131</v>
      </c>
      <c r="F11" s="15" t="str">
        <f>$C$5</f>
        <v>STANDARD SPREADSHEET METHOD</v>
      </c>
      <c r="I11" s="19"/>
      <c r="J11" s="8"/>
      <c r="M11" s="9"/>
      <c r="N11" s="9"/>
      <c r="O11" s="9"/>
      <c r="P11" s="9"/>
      <c r="Q11" s="9"/>
      <c r="R11" s="9"/>
      <c r="S11" s="9"/>
      <c r="T11" s="9"/>
    </row>
    <row r="12" spans="1:39" s="35" customFormat="1" ht="15.6" x14ac:dyDescent="0.3">
      <c r="A12" s="190"/>
      <c r="B12" s="21" t="str">
        <f>$G$4</f>
        <v>SIMPLE LANDING GEAR LOADS</v>
      </c>
      <c r="C12" s="190"/>
      <c r="D12" s="190"/>
      <c r="E12" s="190"/>
      <c r="F12" s="190"/>
      <c r="G12" s="190"/>
      <c r="H12" s="190"/>
      <c r="I12" s="190"/>
      <c r="J12" s="190"/>
      <c r="K12" s="190"/>
      <c r="L12" s="191"/>
      <c r="M12" s="192"/>
      <c r="N12" s="192"/>
      <c r="O12" s="192"/>
      <c r="P12" s="192"/>
      <c r="Q12" s="192"/>
      <c r="R12" s="192"/>
      <c r="S12" s="192"/>
      <c r="T12" s="192"/>
      <c r="U12" s="191"/>
      <c r="AL12" s="193"/>
      <c r="AM12" s="193"/>
    </row>
    <row r="13" spans="1:39" x14ac:dyDescent="0.3">
      <c r="A13" s="36"/>
      <c r="B13" s="26"/>
      <c r="L13" s="27"/>
      <c r="N13" s="34"/>
      <c r="O13" s="32"/>
      <c r="P13" s="31"/>
      <c r="Q13" s="33"/>
      <c r="R13" s="33"/>
      <c r="S13" s="31"/>
    </row>
    <row r="14" spans="1:39" x14ac:dyDescent="0.3">
      <c r="A14" s="36"/>
      <c r="O14" s="32"/>
      <c r="P14" s="31"/>
      <c r="Q14" s="33"/>
      <c r="R14" s="33"/>
      <c r="S14" s="31"/>
    </row>
    <row r="15" spans="1:39" x14ac:dyDescent="0.3">
      <c r="A15" s="37"/>
      <c r="B15" s="26" t="s">
        <v>19</v>
      </c>
      <c r="O15" s="32"/>
      <c r="P15" s="31"/>
      <c r="Q15" s="33"/>
      <c r="R15" s="33"/>
      <c r="S15" s="31"/>
    </row>
    <row r="16" spans="1:39" x14ac:dyDescent="0.3">
      <c r="A16" s="37"/>
      <c r="B16" s="26"/>
      <c r="O16" s="32"/>
      <c r="P16" s="31"/>
      <c r="Q16" s="33"/>
      <c r="R16" s="33"/>
      <c r="S16" s="31"/>
    </row>
    <row r="17" spans="1:20" x14ac:dyDescent="0.3">
      <c r="A17" s="30"/>
      <c r="B17" s="38" t="s">
        <v>20</v>
      </c>
      <c r="C17" s="39"/>
      <c r="D17" s="40"/>
      <c r="E17" s="41"/>
      <c r="F17" s="42"/>
      <c r="G17" s="30"/>
      <c r="H17" s="30"/>
      <c r="I17" s="30"/>
      <c r="J17" s="30"/>
      <c r="K17" s="30"/>
      <c r="L17" s="27"/>
      <c r="N17" s="34"/>
      <c r="O17" s="32"/>
      <c r="P17" s="31"/>
      <c r="Q17" s="33"/>
      <c r="R17" s="33"/>
      <c r="S17" s="31"/>
    </row>
    <row r="18" spans="1:20" x14ac:dyDescent="0.3">
      <c r="A18" s="30"/>
      <c r="B18" s="43"/>
      <c r="C18" s="39"/>
      <c r="D18" s="40"/>
      <c r="E18" s="41"/>
      <c r="F18" s="30"/>
      <c r="G18" s="30"/>
      <c r="H18" s="30"/>
      <c r="I18" s="30"/>
      <c r="J18" s="30"/>
      <c r="K18" s="30"/>
      <c r="L18" s="27"/>
      <c r="N18" s="34"/>
      <c r="O18" s="32"/>
      <c r="P18" s="31"/>
      <c r="Q18" s="33"/>
      <c r="R18" s="33"/>
      <c r="S18" s="31"/>
      <c r="T18" s="44"/>
    </row>
    <row r="19" spans="1:20" x14ac:dyDescent="0.3">
      <c r="A19" s="30"/>
      <c r="B19" s="213" t="s">
        <v>21</v>
      </c>
      <c r="C19" s="213"/>
      <c r="D19" s="213"/>
      <c r="E19" s="213"/>
      <c r="F19" s="213"/>
      <c r="G19" s="213"/>
      <c r="H19" s="213"/>
      <c r="I19" s="213"/>
      <c r="J19" s="213"/>
      <c r="K19" s="30"/>
      <c r="L19" s="27"/>
      <c r="N19" s="34"/>
      <c r="O19" s="32"/>
      <c r="P19" s="31"/>
      <c r="Q19" s="33"/>
      <c r="R19" s="33"/>
      <c r="S19" s="31"/>
      <c r="T19" s="44"/>
    </row>
    <row r="20" spans="1:20" x14ac:dyDescent="0.3">
      <c r="A20" s="30"/>
      <c r="B20" s="213"/>
      <c r="C20" s="213"/>
      <c r="D20" s="213"/>
      <c r="E20" s="213"/>
      <c r="F20" s="213"/>
      <c r="G20" s="213"/>
      <c r="H20" s="213"/>
      <c r="I20" s="213"/>
      <c r="J20" s="213"/>
      <c r="K20" s="30"/>
      <c r="L20" s="27"/>
      <c r="N20" s="34"/>
      <c r="O20" s="32"/>
      <c r="P20" s="31"/>
      <c r="Q20" s="33"/>
      <c r="R20" s="33"/>
      <c r="S20" s="31"/>
      <c r="T20" s="44"/>
    </row>
    <row r="21" spans="1:20" x14ac:dyDescent="0.3">
      <c r="A21" s="30"/>
      <c r="B21" s="213"/>
      <c r="C21" s="213"/>
      <c r="D21" s="213"/>
      <c r="E21" s="213"/>
      <c r="F21" s="213"/>
      <c r="G21" s="213"/>
      <c r="H21" s="213"/>
      <c r="I21" s="213"/>
      <c r="J21" s="213"/>
      <c r="K21" s="30"/>
      <c r="L21" s="27"/>
      <c r="N21" s="34"/>
      <c r="O21" s="32"/>
      <c r="P21" s="31"/>
      <c r="Q21" s="33"/>
      <c r="R21" s="33"/>
      <c r="S21" s="31"/>
      <c r="T21" s="44"/>
    </row>
    <row r="22" spans="1:20" x14ac:dyDescent="0.3">
      <c r="A22" s="30"/>
      <c r="B22" s="214" t="s">
        <v>22</v>
      </c>
      <c r="C22" s="214"/>
      <c r="D22" s="214"/>
      <c r="E22" s="214"/>
      <c r="F22" s="214"/>
      <c r="G22" s="214"/>
      <c r="H22" s="214"/>
      <c r="I22" s="214"/>
      <c r="J22" s="214"/>
      <c r="K22" s="30"/>
      <c r="L22" s="27"/>
      <c r="N22" s="34"/>
      <c r="O22" s="32"/>
      <c r="P22" s="31"/>
      <c r="Q22" s="33"/>
      <c r="R22" s="33"/>
      <c r="S22" s="31"/>
      <c r="T22" s="44"/>
    </row>
    <row r="23" spans="1:20" x14ac:dyDescent="0.3">
      <c r="A23" s="30"/>
      <c r="B23" s="214"/>
      <c r="C23" s="214"/>
      <c r="D23" s="214"/>
      <c r="E23" s="214"/>
      <c r="F23" s="214"/>
      <c r="G23" s="214"/>
      <c r="H23" s="214"/>
      <c r="I23" s="214"/>
      <c r="J23" s="214"/>
      <c r="K23" s="30"/>
      <c r="L23" s="27"/>
      <c r="N23" s="34"/>
      <c r="O23" s="32"/>
      <c r="P23" s="31"/>
      <c r="Q23" s="33"/>
      <c r="R23" s="33"/>
      <c r="S23" s="31"/>
      <c r="T23" s="44"/>
    </row>
    <row r="24" spans="1:20" x14ac:dyDescent="0.3">
      <c r="A24" s="30"/>
      <c r="B24" s="45"/>
      <c r="C24" s="46"/>
      <c r="D24" s="30"/>
      <c r="E24" s="30"/>
      <c r="F24" s="42"/>
      <c r="G24" s="30"/>
      <c r="H24" s="30"/>
      <c r="I24" s="30"/>
      <c r="J24" s="30"/>
      <c r="K24" s="30"/>
      <c r="L24" s="27"/>
      <c r="N24" s="34"/>
      <c r="O24" s="32"/>
      <c r="P24" s="31"/>
      <c r="Q24" s="33"/>
      <c r="R24" s="33"/>
      <c r="S24" s="31"/>
      <c r="T24" s="44"/>
    </row>
    <row r="25" spans="1:20" x14ac:dyDescent="0.3">
      <c r="A25" s="30"/>
      <c r="B25" s="30"/>
      <c r="C25" s="30"/>
      <c r="D25" s="30"/>
      <c r="E25" s="30"/>
      <c r="F25" s="42"/>
      <c r="G25" s="30"/>
      <c r="H25" s="30"/>
      <c r="I25" s="30"/>
      <c r="J25" s="30"/>
      <c r="K25" s="30"/>
      <c r="L25" s="27"/>
      <c r="N25" s="34"/>
      <c r="O25" s="32"/>
      <c r="P25" s="31"/>
      <c r="Q25" s="33"/>
      <c r="R25" s="33"/>
      <c r="S25" s="31"/>
      <c r="T25" s="44"/>
    </row>
    <row r="26" spans="1:20" x14ac:dyDescent="0.3">
      <c r="A26" s="30"/>
      <c r="B26" s="45"/>
      <c r="C26" s="46"/>
      <c r="D26" s="30"/>
      <c r="E26" s="30"/>
      <c r="F26" s="30"/>
      <c r="G26" s="30"/>
      <c r="H26" s="30"/>
      <c r="I26" s="30"/>
      <c r="J26" s="30"/>
      <c r="K26" s="30"/>
      <c r="L26" s="27"/>
      <c r="N26" s="34"/>
      <c r="O26" s="32"/>
      <c r="P26" s="31"/>
      <c r="Q26" s="33"/>
      <c r="R26" s="33"/>
      <c r="S26" s="31"/>
      <c r="T26" s="44"/>
    </row>
    <row r="27" spans="1:20" x14ac:dyDescent="0.3">
      <c r="A27" s="30"/>
      <c r="B27" s="47"/>
      <c r="C27" s="30"/>
      <c r="D27" s="30"/>
      <c r="E27" s="30"/>
      <c r="F27" s="30"/>
      <c r="G27" s="30"/>
      <c r="H27" s="30"/>
      <c r="I27" s="30"/>
      <c r="J27" s="30"/>
      <c r="K27" s="30"/>
      <c r="L27" s="27"/>
      <c r="N27" s="34"/>
      <c r="O27" s="32"/>
      <c r="P27" s="31"/>
      <c r="Q27" s="33"/>
      <c r="R27" s="33"/>
      <c r="S27" s="31"/>
      <c r="T27" s="44"/>
    </row>
    <row r="28" spans="1:20" x14ac:dyDescent="0.3">
      <c r="A28" s="30"/>
      <c r="B28" s="48"/>
      <c r="C28" s="30"/>
      <c r="D28" s="30"/>
      <c r="E28" s="30"/>
      <c r="F28" s="42"/>
      <c r="G28" s="30"/>
      <c r="H28" s="30"/>
      <c r="I28" s="30"/>
      <c r="J28" s="30"/>
      <c r="K28" s="30"/>
      <c r="L28" s="27"/>
      <c r="N28" s="34"/>
      <c r="O28" s="32"/>
      <c r="P28" s="31"/>
      <c r="Q28" s="33"/>
      <c r="R28" s="33"/>
      <c r="S28" s="31"/>
      <c r="T28" s="44"/>
    </row>
    <row r="29" spans="1:20" x14ac:dyDescent="0.3">
      <c r="A29" s="30"/>
      <c r="B29" s="48"/>
      <c r="C29" s="46"/>
      <c r="D29" s="30"/>
      <c r="E29" s="30"/>
      <c r="F29" s="30"/>
      <c r="G29" s="30"/>
      <c r="H29" s="30"/>
      <c r="I29" s="30"/>
      <c r="J29" s="30"/>
      <c r="K29" s="30"/>
      <c r="L29" s="27"/>
      <c r="N29" s="34"/>
      <c r="O29" s="32"/>
      <c r="P29" s="31"/>
      <c r="Q29" s="33"/>
      <c r="R29" s="33"/>
      <c r="S29" s="31"/>
      <c r="T29" s="44"/>
    </row>
    <row r="30" spans="1:20" x14ac:dyDescent="0.3">
      <c r="A30" s="30"/>
      <c r="B30" s="48"/>
      <c r="C30" s="30"/>
      <c r="D30" s="30"/>
      <c r="E30" s="30"/>
      <c r="F30" s="42"/>
      <c r="G30" s="30"/>
      <c r="H30" s="30"/>
      <c r="I30" s="30"/>
      <c r="J30" s="30"/>
      <c r="K30" s="30"/>
      <c r="L30" s="27"/>
      <c r="N30" s="34"/>
      <c r="O30" s="32"/>
      <c r="P30" s="31"/>
      <c r="Q30" s="33"/>
      <c r="R30" s="33"/>
      <c r="S30" s="31"/>
      <c r="T30" s="44"/>
    </row>
    <row r="31" spans="1:20" x14ac:dyDescent="0.3">
      <c r="A31" s="30"/>
      <c r="B31" s="30"/>
      <c r="C31" s="30"/>
      <c r="D31" s="30"/>
      <c r="E31" s="30"/>
      <c r="F31" s="42"/>
      <c r="G31" s="30"/>
      <c r="H31" s="30"/>
      <c r="I31" s="30"/>
      <c r="J31" s="30"/>
      <c r="K31" s="30"/>
      <c r="O31" s="32"/>
      <c r="P31" s="31"/>
      <c r="Q31" s="33"/>
      <c r="R31" s="33"/>
      <c r="S31" s="31"/>
      <c r="T31" s="44"/>
    </row>
    <row r="32" spans="1:20" x14ac:dyDescent="0.3">
      <c r="A32" s="30"/>
      <c r="B32" s="30"/>
      <c r="C32" s="30"/>
      <c r="D32" s="30"/>
      <c r="E32" s="30"/>
      <c r="F32" s="30"/>
      <c r="G32" s="30"/>
      <c r="H32" s="30"/>
      <c r="I32" s="30"/>
      <c r="J32" s="30"/>
      <c r="K32" s="30"/>
      <c r="O32" s="32"/>
      <c r="P32" s="31"/>
      <c r="Q32" s="33"/>
      <c r="R32" s="33"/>
      <c r="S32" s="31"/>
    </row>
    <row r="33" spans="1:20" x14ac:dyDescent="0.3">
      <c r="A33" s="30"/>
      <c r="B33" s="30"/>
      <c r="C33" s="30"/>
      <c r="D33" s="30"/>
      <c r="E33" s="30"/>
      <c r="F33" s="42"/>
      <c r="G33" s="30"/>
      <c r="H33" s="30"/>
      <c r="I33" s="30"/>
      <c r="J33" s="30"/>
      <c r="K33" s="30"/>
      <c r="O33" s="32"/>
      <c r="P33" s="31"/>
      <c r="Q33" s="33"/>
      <c r="R33" s="33"/>
      <c r="S33" s="31"/>
      <c r="T33" s="44"/>
    </row>
    <row r="34" spans="1:20" x14ac:dyDescent="0.3">
      <c r="A34" s="37"/>
      <c r="B34" s="30"/>
      <c r="C34" s="30"/>
      <c r="D34" s="30"/>
      <c r="E34" s="30"/>
      <c r="F34" s="30"/>
      <c r="G34" s="30"/>
      <c r="H34" s="30"/>
      <c r="I34" s="30"/>
      <c r="J34" s="30"/>
      <c r="K34" s="30"/>
      <c r="O34" s="32"/>
      <c r="P34" s="31"/>
      <c r="Q34" s="33"/>
      <c r="R34" s="33"/>
      <c r="S34" s="31"/>
      <c r="T34" s="44"/>
    </row>
    <row r="35" spans="1:20" x14ac:dyDescent="0.3">
      <c r="A35" s="30"/>
      <c r="B35" s="30"/>
      <c r="C35" s="30"/>
      <c r="D35" s="30"/>
      <c r="E35" s="30"/>
      <c r="F35" s="30"/>
      <c r="G35" s="30"/>
      <c r="H35" s="30"/>
      <c r="I35" s="30"/>
      <c r="J35" s="30"/>
      <c r="K35" s="30"/>
      <c r="O35" s="32"/>
      <c r="P35" s="31"/>
      <c r="Q35" s="33"/>
      <c r="R35" s="33"/>
      <c r="S35" s="31"/>
    </row>
    <row r="36" spans="1:20" x14ac:dyDescent="0.3">
      <c r="A36" s="30"/>
      <c r="B36" s="30"/>
      <c r="C36" s="30"/>
      <c r="D36" s="30"/>
      <c r="E36" s="30"/>
      <c r="F36" s="30"/>
      <c r="G36" s="30"/>
      <c r="H36" s="30"/>
      <c r="I36" s="30"/>
      <c r="J36" s="30"/>
      <c r="K36" s="30"/>
      <c r="O36" s="32"/>
      <c r="P36" s="31"/>
      <c r="Q36" s="33"/>
      <c r="R36" s="33"/>
      <c r="S36" s="31"/>
    </row>
    <row r="37" spans="1:20" x14ac:dyDescent="0.3">
      <c r="A37" s="30"/>
      <c r="B37" s="30"/>
      <c r="C37" s="30"/>
      <c r="D37" s="30"/>
      <c r="E37" s="30"/>
      <c r="F37" s="30"/>
      <c r="G37" s="30"/>
      <c r="H37" s="30"/>
      <c r="I37" s="30"/>
      <c r="J37" s="30"/>
      <c r="K37" s="30"/>
      <c r="O37" s="32"/>
      <c r="P37" s="31"/>
      <c r="Q37" s="33"/>
      <c r="R37" s="33"/>
      <c r="S37" s="31"/>
    </row>
    <row r="38" spans="1:20" x14ac:dyDescent="0.3">
      <c r="A38" s="30"/>
      <c r="B38" s="30"/>
      <c r="C38" s="30"/>
      <c r="D38" s="30"/>
      <c r="E38" s="30"/>
      <c r="F38" s="30"/>
      <c r="G38" s="30"/>
      <c r="H38" s="30"/>
      <c r="I38" s="30"/>
      <c r="J38" s="30"/>
      <c r="K38" s="30"/>
      <c r="O38" s="32"/>
      <c r="P38" s="31"/>
      <c r="Q38" s="33"/>
      <c r="R38" s="33"/>
      <c r="S38" s="31"/>
    </row>
    <row r="39" spans="1:20" x14ac:dyDescent="0.3">
      <c r="A39" s="30"/>
      <c r="B39" s="30"/>
      <c r="C39" s="30"/>
      <c r="D39" s="30"/>
      <c r="E39" s="30"/>
      <c r="F39" s="30"/>
      <c r="G39" s="30"/>
      <c r="H39" s="30"/>
      <c r="I39" s="30"/>
      <c r="J39" s="30"/>
      <c r="K39" s="30"/>
      <c r="N39" s="34"/>
      <c r="O39" s="32"/>
      <c r="P39" s="31"/>
      <c r="Q39" s="33"/>
      <c r="R39" s="33"/>
      <c r="S39" s="31"/>
      <c r="T39" s="44"/>
    </row>
    <row r="40" spans="1:20" x14ac:dyDescent="0.3">
      <c r="A40" s="30"/>
      <c r="B40" s="30"/>
      <c r="C40" s="30"/>
      <c r="D40" s="30"/>
      <c r="E40" s="30"/>
      <c r="F40" s="30"/>
      <c r="G40" s="30"/>
      <c r="H40" s="30"/>
      <c r="I40" s="30"/>
      <c r="J40" s="30"/>
      <c r="K40" s="30"/>
      <c r="O40" s="32"/>
      <c r="P40" s="31"/>
      <c r="Q40" s="33"/>
      <c r="R40" s="33"/>
      <c r="S40" s="31"/>
    </row>
    <row r="41" spans="1:20" x14ac:dyDescent="0.3">
      <c r="A41" s="30"/>
      <c r="B41" s="37"/>
      <c r="C41" s="49" t="s">
        <v>23</v>
      </c>
      <c r="D41" s="30"/>
      <c r="E41" s="30"/>
      <c r="F41" s="42"/>
      <c r="G41" s="30"/>
      <c r="H41" s="30"/>
      <c r="I41" s="30"/>
      <c r="J41" s="30"/>
      <c r="K41" s="30"/>
      <c r="L41" s="27"/>
      <c r="N41" s="34"/>
      <c r="O41" s="32"/>
      <c r="P41" s="31"/>
      <c r="Q41" s="33"/>
      <c r="R41" s="33"/>
      <c r="S41" s="31"/>
    </row>
    <row r="42" spans="1:20" x14ac:dyDescent="0.3">
      <c r="A42" s="30"/>
      <c r="B42" s="30"/>
      <c r="C42" s="30"/>
      <c r="D42" s="30"/>
      <c r="E42" s="30"/>
      <c r="F42" s="30"/>
      <c r="G42" s="30"/>
      <c r="H42" s="30"/>
      <c r="I42" s="30"/>
      <c r="J42" s="30"/>
      <c r="K42" s="30"/>
      <c r="O42" s="32"/>
      <c r="P42" s="31"/>
      <c r="Q42" s="33"/>
      <c r="R42" s="33"/>
      <c r="S42" s="31"/>
    </row>
    <row r="43" spans="1:20" x14ac:dyDescent="0.3">
      <c r="A43" s="30"/>
      <c r="B43" s="30"/>
      <c r="C43" s="30"/>
      <c r="D43" s="30"/>
      <c r="E43" s="30"/>
      <c r="F43" s="30"/>
      <c r="G43" s="30"/>
      <c r="H43" s="30"/>
      <c r="I43" s="30"/>
      <c r="J43" s="30"/>
      <c r="K43" s="30"/>
      <c r="O43" s="32"/>
      <c r="P43" s="31"/>
      <c r="Q43" s="33"/>
      <c r="R43" s="33"/>
      <c r="S43" s="31"/>
    </row>
    <row r="44" spans="1:20" x14ac:dyDescent="0.3">
      <c r="A44" s="30"/>
      <c r="B44" s="30"/>
      <c r="C44" s="30"/>
      <c r="D44" s="30"/>
      <c r="E44" s="30"/>
      <c r="F44" s="30"/>
      <c r="G44" s="30"/>
      <c r="H44" s="30"/>
      <c r="I44" s="30"/>
      <c r="J44" s="30"/>
      <c r="K44" s="30"/>
      <c r="O44" s="32"/>
      <c r="P44" s="31"/>
      <c r="Q44" s="33"/>
      <c r="R44" s="33"/>
      <c r="S44" s="31"/>
    </row>
    <row r="45" spans="1:20" x14ac:dyDescent="0.3">
      <c r="B45" s="25"/>
      <c r="C45" s="50"/>
      <c r="O45" s="32"/>
      <c r="P45" s="31"/>
      <c r="Q45" s="33"/>
      <c r="R45" s="33"/>
      <c r="S45" s="31"/>
      <c r="T45" s="44"/>
    </row>
    <row r="46" spans="1:20" x14ac:dyDescent="0.3">
      <c r="B46" s="25"/>
      <c r="C46" s="51"/>
      <c r="O46" s="32"/>
      <c r="P46" s="31"/>
      <c r="Q46" s="33"/>
      <c r="R46" s="33"/>
      <c r="S46" s="31"/>
      <c r="T46" s="44"/>
    </row>
    <row r="47" spans="1:20" x14ac:dyDescent="0.3">
      <c r="B47" s="25"/>
      <c r="C47" s="51"/>
      <c r="O47" s="32"/>
      <c r="P47" s="31"/>
      <c r="Q47" s="33"/>
      <c r="R47" s="33"/>
      <c r="S47" s="31"/>
      <c r="T47" s="44"/>
    </row>
    <row r="48" spans="1:20" x14ac:dyDescent="0.3">
      <c r="B48" s="25"/>
      <c r="O48" s="32"/>
      <c r="P48" s="31"/>
      <c r="Q48" s="33"/>
      <c r="R48" s="33"/>
      <c r="S48" s="31"/>
      <c r="T48" s="44"/>
    </row>
    <row r="49" spans="1:20" x14ac:dyDescent="0.3">
      <c r="B49" s="25"/>
      <c r="O49" s="32"/>
      <c r="P49" s="31"/>
      <c r="Q49" s="33"/>
      <c r="R49" s="33"/>
      <c r="S49" s="31"/>
      <c r="T49" s="44"/>
    </row>
    <row r="50" spans="1:20" x14ac:dyDescent="0.3">
      <c r="B50" s="25"/>
      <c r="C50" s="52"/>
      <c r="O50" s="32"/>
      <c r="P50" s="31"/>
      <c r="Q50" s="33"/>
      <c r="R50" s="33"/>
      <c r="S50" s="31"/>
      <c r="T50" s="44"/>
    </row>
    <row r="51" spans="1:20" x14ac:dyDescent="0.3">
      <c r="B51" s="25"/>
      <c r="C51" s="25"/>
      <c r="D51" s="53"/>
      <c r="O51" s="32"/>
      <c r="P51" s="31"/>
      <c r="Q51" s="33"/>
      <c r="R51" s="33"/>
      <c r="S51" s="31"/>
      <c r="T51" s="44"/>
    </row>
    <row r="52" spans="1:20" x14ac:dyDescent="0.3">
      <c r="B52" s="25"/>
      <c r="C52" s="25"/>
      <c r="D52" s="53"/>
      <c r="O52" s="32"/>
      <c r="P52" s="31"/>
      <c r="Q52" s="33"/>
      <c r="R52" s="33"/>
      <c r="S52" s="31"/>
      <c r="T52" s="44"/>
    </row>
    <row r="53" spans="1:20" x14ac:dyDescent="0.3">
      <c r="B53" s="25"/>
      <c r="C53" s="25"/>
      <c r="D53" s="53"/>
      <c r="O53" s="32"/>
      <c r="P53" s="31"/>
      <c r="Q53" s="33"/>
      <c r="R53" s="33"/>
      <c r="S53" s="31"/>
      <c r="T53" s="44"/>
    </row>
    <row r="54" spans="1:20" x14ac:dyDescent="0.3">
      <c r="B54" s="25"/>
      <c r="C54" s="25"/>
      <c r="D54" s="53"/>
      <c r="O54" s="32"/>
      <c r="P54" s="31"/>
      <c r="Q54" s="33"/>
      <c r="R54" s="33"/>
      <c r="S54" s="31"/>
      <c r="T54" s="44"/>
    </row>
    <row r="55" spans="1:20" x14ac:dyDescent="0.3">
      <c r="B55" s="25"/>
      <c r="C55" s="25"/>
      <c r="D55" s="53"/>
      <c r="O55" s="32"/>
      <c r="P55" s="31"/>
      <c r="Q55" s="33"/>
      <c r="R55" s="33"/>
      <c r="S55" s="31"/>
      <c r="T55" s="44"/>
    </row>
    <row r="56" spans="1:20" x14ac:dyDescent="0.3">
      <c r="B56" s="25"/>
      <c r="C56" s="25"/>
      <c r="D56" s="53"/>
      <c r="O56" s="32"/>
      <c r="P56" s="31"/>
      <c r="Q56" s="33"/>
      <c r="R56" s="33"/>
      <c r="S56" s="31"/>
      <c r="T56" s="44"/>
    </row>
    <row r="57" spans="1:20" x14ac:dyDescent="0.3">
      <c r="B57" s="25"/>
      <c r="C57" s="25"/>
      <c r="D57" s="53"/>
      <c r="O57" s="32"/>
      <c r="P57" s="31"/>
      <c r="Q57" s="33"/>
      <c r="R57" s="33"/>
      <c r="S57" s="31"/>
      <c r="T57" s="44"/>
    </row>
    <row r="58" spans="1:20" x14ac:dyDescent="0.3">
      <c r="B58" s="25"/>
      <c r="C58" s="25"/>
      <c r="D58" s="53"/>
      <c r="O58" s="32"/>
      <c r="P58" s="31"/>
      <c r="Q58" s="33"/>
      <c r="R58" s="33"/>
      <c r="S58" s="31"/>
      <c r="T58" s="44"/>
    </row>
    <row r="59" spans="1:20" x14ac:dyDescent="0.3">
      <c r="B59" s="25"/>
      <c r="C59" s="25"/>
      <c r="D59" s="53"/>
      <c r="O59" s="32"/>
      <c r="P59" s="31"/>
      <c r="Q59" s="33"/>
      <c r="R59" s="33"/>
      <c r="S59" s="31"/>
      <c r="T59" s="44"/>
    </row>
    <row r="60" spans="1:20" x14ac:dyDescent="0.3">
      <c r="B60" s="25"/>
      <c r="F60" s="54"/>
      <c r="O60" s="32"/>
      <c r="P60" s="31"/>
      <c r="Q60" s="33"/>
      <c r="R60" s="33"/>
      <c r="S60" s="31"/>
      <c r="T60" s="44"/>
    </row>
    <row r="61" spans="1:20" x14ac:dyDescent="0.3">
      <c r="B61" s="25"/>
      <c r="F61" s="54"/>
      <c r="O61" s="32"/>
      <c r="P61" s="31"/>
      <c r="Q61" s="33"/>
      <c r="R61" s="33"/>
      <c r="S61" s="31"/>
      <c r="T61" s="44"/>
    </row>
    <row r="62" spans="1:20" x14ac:dyDescent="0.3">
      <c r="B62" s="25"/>
      <c r="F62" s="54"/>
      <c r="O62" s="32"/>
      <c r="P62" s="31"/>
      <c r="Q62" s="33"/>
      <c r="R62" s="33"/>
      <c r="S62" s="31"/>
      <c r="T62" s="44"/>
    </row>
    <row r="63" spans="1:20" x14ac:dyDescent="0.3">
      <c r="A63" s="190"/>
      <c r="B63" s="193"/>
      <c r="C63" s="195"/>
      <c r="D63" s="190"/>
      <c r="E63" s="190"/>
      <c r="F63" s="190"/>
      <c r="G63" s="195"/>
      <c r="H63" s="190"/>
      <c r="I63" s="190"/>
      <c r="J63" s="190"/>
      <c r="K63" s="190"/>
      <c r="O63" s="32"/>
      <c r="P63" s="31"/>
      <c r="Q63" s="33"/>
      <c r="R63" s="33"/>
      <c r="S63" s="31"/>
      <c r="T63" s="44"/>
    </row>
    <row r="64" spans="1:20" x14ac:dyDescent="0.3">
      <c r="A64" s="190"/>
      <c r="B64" s="196"/>
      <c r="C64" s="195"/>
      <c r="D64" s="197"/>
      <c r="E64" s="197"/>
      <c r="F64" s="198" t="s">
        <v>159</v>
      </c>
      <c r="G64" s="195"/>
      <c r="H64" s="197"/>
      <c r="I64" s="197"/>
      <c r="J64" s="197"/>
      <c r="K64" s="190"/>
      <c r="O64" s="32"/>
      <c r="P64" s="31"/>
      <c r="Q64" s="33"/>
      <c r="R64" s="33"/>
      <c r="S64" s="31"/>
      <c r="T64" s="44"/>
    </row>
    <row r="65" spans="1:22" x14ac:dyDescent="0.3">
      <c r="A65" s="190"/>
      <c r="B65" s="197"/>
      <c r="C65" s="197"/>
      <c r="D65" s="197"/>
      <c r="E65" s="197"/>
      <c r="F65" s="199" t="s">
        <v>160</v>
      </c>
      <c r="G65" s="197"/>
      <c r="H65" s="197"/>
      <c r="I65" s="197"/>
      <c r="J65" s="197"/>
      <c r="K65" s="190"/>
      <c r="O65" s="32"/>
      <c r="P65" s="31"/>
      <c r="Q65" s="33"/>
      <c r="R65" s="33"/>
      <c r="S65" s="31"/>
      <c r="T65" s="44"/>
    </row>
    <row r="66" spans="1:22" x14ac:dyDescent="0.3">
      <c r="A66" s="14"/>
      <c r="B66" s="5"/>
      <c r="C66" s="5"/>
      <c r="D66" s="5"/>
      <c r="E66" s="7" t="s">
        <v>1</v>
      </c>
      <c r="F66" s="8" t="str">
        <f>$C$1</f>
        <v>R. Abbott</v>
      </c>
      <c r="G66" s="5"/>
      <c r="H66" s="15"/>
      <c r="I66" s="7" t="s">
        <v>8</v>
      </c>
      <c r="J66" s="16" t="str">
        <f>$G$2</f>
        <v>AA-SM-503</v>
      </c>
      <c r="K66" s="17"/>
      <c r="L66" s="18"/>
      <c r="M66" s="9"/>
      <c r="N66" s="9"/>
      <c r="O66" s="9"/>
      <c r="P66" s="9"/>
      <c r="Q66" s="33"/>
      <c r="R66" s="33"/>
      <c r="S66" s="31"/>
      <c r="U66" s="55"/>
      <c r="V66" s="56"/>
    </row>
    <row r="67" spans="1:22" x14ac:dyDescent="0.3">
      <c r="A67" s="5"/>
      <c r="B67" s="5"/>
      <c r="C67" s="5"/>
      <c r="D67" s="5"/>
      <c r="E67" s="7" t="s">
        <v>2</v>
      </c>
      <c r="F67" s="15" t="str">
        <f>$C$2</f>
        <v xml:space="preserve"> </v>
      </c>
      <c r="G67" s="5"/>
      <c r="H67" s="15"/>
      <c r="I67" s="7" t="s">
        <v>9</v>
      </c>
      <c r="J67" s="17" t="str">
        <f>$G$3</f>
        <v>IR</v>
      </c>
      <c r="K67" s="17"/>
      <c r="L67" s="18"/>
      <c r="M67" s="9">
        <v>1</v>
      </c>
      <c r="N67" s="9"/>
      <c r="O67" s="9"/>
      <c r="P67" s="9"/>
      <c r="Q67" s="33"/>
      <c r="R67" s="33"/>
      <c r="S67" s="31"/>
    </row>
    <row r="68" spans="1:22" x14ac:dyDescent="0.3">
      <c r="A68" s="5"/>
      <c r="B68" s="5"/>
      <c r="C68" s="5"/>
      <c r="D68" s="5"/>
      <c r="E68" s="7" t="s">
        <v>3</v>
      </c>
      <c r="F68" s="15" t="str">
        <f>$C$3</f>
        <v>20/10/2013</v>
      </c>
      <c r="G68" s="5"/>
      <c r="H68" s="15"/>
      <c r="I68" s="7" t="s">
        <v>6</v>
      </c>
      <c r="J68" s="8" t="str">
        <f>L68&amp;" of "&amp;$G$1</f>
        <v>2 of 15</v>
      </c>
      <c r="K68" s="15"/>
      <c r="L68" s="18">
        <f>SUM($M$1:M67)</f>
        <v>2</v>
      </c>
      <c r="M68" s="9"/>
      <c r="N68" s="9"/>
      <c r="O68" s="9"/>
      <c r="P68" s="9"/>
      <c r="Q68" s="33"/>
      <c r="R68" s="33"/>
      <c r="S68" s="31"/>
    </row>
    <row r="69" spans="1:22" x14ac:dyDescent="0.3">
      <c r="E69" s="7" t="s">
        <v>131</v>
      </c>
      <c r="F69" s="15" t="str">
        <f>$C$5</f>
        <v>STANDARD SPREADSHEET METHOD</v>
      </c>
      <c r="G69" s="5"/>
      <c r="H69" s="5"/>
      <c r="I69" s="19"/>
      <c r="J69" s="8"/>
      <c r="K69" s="5"/>
      <c r="L69" s="5"/>
      <c r="M69" s="9"/>
      <c r="N69" s="9"/>
      <c r="O69" s="9"/>
      <c r="P69" s="9"/>
      <c r="Q69" s="33"/>
      <c r="R69" s="33"/>
      <c r="S69" s="31"/>
    </row>
    <row r="70" spans="1:22" ht="13.5" customHeight="1" x14ac:dyDescent="0.3">
      <c r="A70" s="190"/>
      <c r="B70" s="21" t="str">
        <f>$G$4</f>
        <v>SIMPLE LANDING GEAR LOADS</v>
      </c>
      <c r="C70" s="190"/>
      <c r="D70" s="190"/>
      <c r="E70" s="190"/>
      <c r="F70" s="190"/>
      <c r="G70" s="190"/>
      <c r="H70" s="190"/>
      <c r="I70" s="190"/>
      <c r="J70" s="190"/>
      <c r="K70" s="190"/>
      <c r="L70" s="191"/>
      <c r="M70" s="192"/>
      <c r="N70" s="192"/>
      <c r="O70" s="192"/>
      <c r="P70" s="192"/>
      <c r="Q70" s="33"/>
      <c r="R70" s="33"/>
      <c r="S70" s="31"/>
    </row>
    <row r="71" spans="1:22" x14ac:dyDescent="0.3">
      <c r="A71" s="37"/>
      <c r="B71" s="49" t="s">
        <v>25</v>
      </c>
      <c r="C71" s="30"/>
      <c r="D71" s="30"/>
      <c r="E71" s="30"/>
      <c r="F71" s="30"/>
      <c r="G71" s="30"/>
      <c r="H71" s="30"/>
      <c r="I71" s="30"/>
      <c r="J71" s="30"/>
      <c r="K71" s="30"/>
      <c r="O71" s="32"/>
      <c r="P71" s="31"/>
      <c r="Q71" s="33"/>
      <c r="R71" s="33"/>
      <c r="S71" s="31"/>
    </row>
    <row r="72" spans="1:22" x14ac:dyDescent="0.3">
      <c r="A72" s="30"/>
      <c r="B72" s="30"/>
      <c r="C72" s="30"/>
      <c r="D72" s="30"/>
      <c r="E72" s="30"/>
      <c r="F72" s="30"/>
      <c r="G72" s="30"/>
      <c r="H72" s="30"/>
      <c r="I72" s="30"/>
      <c r="J72" s="30"/>
      <c r="K72" s="30"/>
      <c r="O72" s="32"/>
      <c r="P72" s="31"/>
      <c r="Q72" s="33"/>
      <c r="R72" s="33"/>
      <c r="S72" s="31"/>
    </row>
    <row r="73" spans="1:22" x14ac:dyDescent="0.3">
      <c r="A73" s="30"/>
      <c r="B73" s="57" t="s">
        <v>26</v>
      </c>
      <c r="C73" s="58"/>
      <c r="D73" s="58"/>
      <c r="E73" s="41"/>
      <c r="F73" s="30"/>
      <c r="G73" s="30"/>
      <c r="H73" s="30"/>
      <c r="I73" s="30"/>
      <c r="J73" s="30"/>
      <c r="K73" s="30"/>
      <c r="O73" s="32"/>
      <c r="P73" s="31"/>
      <c r="Q73" s="33"/>
      <c r="R73" s="33"/>
      <c r="S73" s="31"/>
    </row>
    <row r="74" spans="1:22" x14ac:dyDescent="0.3">
      <c r="B74" s="30"/>
      <c r="C74" s="30"/>
      <c r="D74" s="30"/>
      <c r="E74" s="30"/>
      <c r="F74" s="30"/>
      <c r="G74" s="30"/>
      <c r="H74" s="30"/>
      <c r="I74" s="30"/>
      <c r="J74" s="30"/>
      <c r="K74" s="30"/>
      <c r="O74" s="32"/>
      <c r="P74" s="31"/>
      <c r="Q74" s="33"/>
      <c r="R74" s="33"/>
      <c r="S74" s="31"/>
    </row>
    <row r="75" spans="1:22" x14ac:dyDescent="0.3">
      <c r="A75" s="30"/>
      <c r="B75" s="38" t="s">
        <v>27</v>
      </c>
      <c r="C75" s="39"/>
      <c r="D75" s="40"/>
      <c r="E75" s="41"/>
      <c r="F75" s="30"/>
      <c r="G75" s="30"/>
      <c r="H75" s="30"/>
      <c r="I75" s="30"/>
      <c r="J75" s="30"/>
      <c r="K75" s="30"/>
      <c r="L75" s="27"/>
      <c r="N75" s="34"/>
      <c r="O75" s="32"/>
      <c r="P75" s="31"/>
      <c r="Q75" s="33"/>
      <c r="R75" s="33"/>
      <c r="S75" s="31"/>
    </row>
    <row r="76" spans="1:22" x14ac:dyDescent="0.3">
      <c r="A76" s="30"/>
      <c r="B76" s="30" t="s">
        <v>28</v>
      </c>
      <c r="C76" s="39"/>
      <c r="D76" s="40"/>
      <c r="E76" s="41"/>
      <c r="F76" s="30"/>
      <c r="G76" s="30"/>
      <c r="H76" s="30"/>
      <c r="I76" s="30"/>
      <c r="J76" s="30"/>
      <c r="K76" s="30"/>
      <c r="L76" s="27"/>
      <c r="N76" s="34"/>
      <c r="O76" s="32"/>
      <c r="P76" s="31"/>
      <c r="Q76" s="33"/>
      <c r="R76" s="33"/>
      <c r="S76" s="31"/>
    </row>
    <row r="77" spans="1:22" x14ac:dyDescent="0.3">
      <c r="A77" s="30"/>
      <c r="B77" s="30" t="s">
        <v>29</v>
      </c>
      <c r="C77" s="30"/>
      <c r="D77" s="46">
        <v>12.5</v>
      </c>
      <c r="E77" s="30" t="s">
        <v>30</v>
      </c>
      <c r="F77" s="30"/>
      <c r="G77" s="30"/>
      <c r="H77" s="30"/>
      <c r="I77" s="30"/>
      <c r="J77" s="30"/>
      <c r="K77" s="30"/>
      <c r="L77" s="27"/>
      <c r="N77" s="34"/>
      <c r="O77" s="32"/>
      <c r="P77" s="31"/>
      <c r="Q77" s="33"/>
      <c r="R77" s="33"/>
      <c r="S77" s="31"/>
    </row>
    <row r="78" spans="1:22" x14ac:dyDescent="0.3">
      <c r="A78" s="30"/>
      <c r="B78" s="30" t="s">
        <v>31</v>
      </c>
      <c r="C78" s="30"/>
      <c r="D78" s="30"/>
      <c r="E78" s="30"/>
      <c r="F78" s="30"/>
      <c r="G78" s="30"/>
      <c r="H78" s="30"/>
      <c r="I78" s="30"/>
      <c r="J78" s="30"/>
      <c r="K78" s="30"/>
      <c r="L78" s="27"/>
      <c r="N78" s="34"/>
      <c r="O78" s="32"/>
      <c r="P78" s="31"/>
      <c r="Q78" s="33"/>
      <c r="R78" s="33"/>
      <c r="S78" s="31"/>
    </row>
    <row r="79" spans="1:22" x14ac:dyDescent="0.3">
      <c r="A79" s="30"/>
      <c r="B79" s="30" t="s">
        <v>32</v>
      </c>
      <c r="D79" s="50">
        <f>D77-1</f>
        <v>11.5</v>
      </c>
      <c r="E79" s="27" t="s">
        <v>11</v>
      </c>
      <c r="H79" s="30"/>
      <c r="I79" s="30"/>
      <c r="J79" s="30"/>
      <c r="K79" s="30"/>
      <c r="L79" s="27"/>
      <c r="N79" s="34"/>
      <c r="O79" s="32"/>
      <c r="P79" s="31"/>
      <c r="Q79" s="33"/>
      <c r="R79" s="33"/>
      <c r="S79" s="31"/>
    </row>
    <row r="80" spans="1:22" x14ac:dyDescent="0.3">
      <c r="A80" s="30"/>
      <c r="B80" s="27" t="s">
        <v>33</v>
      </c>
      <c r="H80" s="30"/>
      <c r="I80" s="30"/>
      <c r="J80" s="30"/>
      <c r="K80" s="30"/>
      <c r="L80" s="27"/>
      <c r="N80" s="34"/>
      <c r="O80" s="32"/>
      <c r="P80" s="31"/>
      <c r="Q80" s="33"/>
      <c r="R80" s="33"/>
      <c r="S80" s="31"/>
    </row>
    <row r="81" spans="1:20" x14ac:dyDescent="0.3">
      <c r="A81" s="30"/>
      <c r="C81" s="25" t="s">
        <v>12</v>
      </c>
      <c r="D81" s="50">
        <f>$D$79/1.5</f>
        <v>7.666666666666667</v>
      </c>
      <c r="E81" s="27" t="s">
        <v>11</v>
      </c>
      <c r="H81" s="30"/>
      <c r="I81" s="30"/>
      <c r="J81" s="30"/>
      <c r="K81" s="30"/>
      <c r="L81" s="27"/>
      <c r="N81" s="34"/>
      <c r="O81" s="32"/>
      <c r="P81" s="31"/>
      <c r="Q81" s="33"/>
      <c r="R81" s="33"/>
      <c r="S81" s="31"/>
    </row>
    <row r="82" spans="1:20" x14ac:dyDescent="0.3">
      <c r="A82" s="30"/>
      <c r="B82" s="30"/>
      <c r="C82" s="30"/>
      <c r="D82" s="30"/>
      <c r="E82" s="30"/>
      <c r="F82" s="30"/>
      <c r="G82" s="30"/>
      <c r="H82" s="30"/>
      <c r="I82" s="30"/>
      <c r="J82" s="30"/>
      <c r="K82" s="30"/>
      <c r="L82" s="27"/>
      <c r="N82" s="34"/>
      <c r="O82" s="32"/>
      <c r="P82" s="31"/>
      <c r="Q82" s="33"/>
      <c r="R82" s="33"/>
      <c r="S82" s="31"/>
    </row>
    <row r="83" spans="1:20" x14ac:dyDescent="0.3">
      <c r="A83" s="30"/>
      <c r="B83" s="30" t="s">
        <v>34</v>
      </c>
      <c r="C83" s="30"/>
      <c r="D83" s="30"/>
      <c r="E83" s="30"/>
      <c r="F83" s="30"/>
      <c r="G83" s="30"/>
      <c r="H83" s="30"/>
      <c r="I83" s="30"/>
      <c r="J83" s="30"/>
      <c r="K83" s="30"/>
      <c r="L83" s="27"/>
      <c r="N83" s="34"/>
      <c r="O83" s="32"/>
      <c r="P83" s="31"/>
      <c r="Q83" s="33"/>
      <c r="R83" s="33"/>
      <c r="S83" s="31"/>
    </row>
    <row r="84" spans="1:20" x14ac:dyDescent="0.3">
      <c r="A84" s="30"/>
      <c r="B84" s="49"/>
      <c r="C84" s="30"/>
      <c r="D84" s="46">
        <v>0.85</v>
      </c>
      <c r="E84" s="30"/>
      <c r="F84" s="30"/>
      <c r="G84" s="30"/>
      <c r="H84" s="30"/>
      <c r="I84" s="30"/>
      <c r="J84" s="30"/>
      <c r="K84" s="30"/>
      <c r="L84" s="27"/>
      <c r="N84" s="34"/>
      <c r="O84" s="32"/>
      <c r="P84" s="31"/>
      <c r="Q84" s="33"/>
      <c r="R84" s="33"/>
      <c r="S84" s="31"/>
    </row>
    <row r="85" spans="1:20" x14ac:dyDescent="0.3">
      <c r="A85" s="30"/>
      <c r="B85" s="38"/>
      <c r="C85" s="41"/>
      <c r="D85" s="41"/>
      <c r="E85" s="41"/>
      <c r="F85" s="42"/>
      <c r="G85" s="30"/>
      <c r="H85" s="30"/>
      <c r="I85" s="30"/>
      <c r="J85" s="30"/>
      <c r="K85" s="30"/>
      <c r="L85" s="27"/>
      <c r="N85" s="34"/>
      <c r="O85" s="32"/>
      <c r="P85" s="31"/>
      <c r="Q85" s="33"/>
      <c r="R85" s="33"/>
      <c r="S85" s="31"/>
    </row>
    <row r="86" spans="1:20" x14ac:dyDescent="0.3">
      <c r="A86" s="30"/>
      <c r="B86" s="43"/>
      <c r="C86" s="39"/>
      <c r="D86" s="40"/>
      <c r="E86" s="41"/>
      <c r="F86" s="42"/>
      <c r="G86" s="30"/>
      <c r="H86" s="30"/>
      <c r="I86" s="30"/>
      <c r="J86" s="30"/>
      <c r="K86" s="30"/>
      <c r="L86" s="27"/>
      <c r="N86" s="34"/>
      <c r="O86" s="32"/>
      <c r="P86" s="31"/>
      <c r="Q86" s="33"/>
      <c r="R86" s="33"/>
      <c r="S86" s="31"/>
    </row>
    <row r="87" spans="1:20" x14ac:dyDescent="0.3">
      <c r="A87" s="30"/>
      <c r="B87" s="43"/>
      <c r="C87" s="59"/>
      <c r="D87" s="41"/>
      <c r="E87" s="41"/>
      <c r="F87" s="42"/>
      <c r="G87" s="30"/>
      <c r="J87" s="30"/>
      <c r="K87" s="30"/>
      <c r="L87" s="27"/>
      <c r="N87" s="34"/>
      <c r="O87" s="32"/>
      <c r="P87" s="31"/>
      <c r="Q87" s="33"/>
      <c r="R87" s="33"/>
      <c r="S87" s="31"/>
    </row>
    <row r="88" spans="1:20" x14ac:dyDescent="0.3">
      <c r="A88" s="30"/>
      <c r="B88" s="45"/>
      <c r="C88" s="60"/>
      <c r="D88" s="30"/>
      <c r="E88" s="30"/>
      <c r="F88" s="30"/>
      <c r="G88" s="30"/>
      <c r="J88" s="30"/>
      <c r="K88" s="30"/>
      <c r="L88" s="27"/>
      <c r="N88" s="34"/>
      <c r="O88" s="32"/>
      <c r="P88" s="31"/>
      <c r="Q88" s="33"/>
      <c r="R88" s="33"/>
      <c r="S88" s="31"/>
    </row>
    <row r="89" spans="1:20" x14ac:dyDescent="0.3">
      <c r="A89" s="30"/>
      <c r="B89" s="45"/>
      <c r="C89" s="61"/>
      <c r="D89" s="30"/>
      <c r="E89" s="30"/>
      <c r="F89" s="30"/>
      <c r="G89" s="30"/>
      <c r="I89" s="30"/>
      <c r="J89" s="30"/>
      <c r="K89" s="30"/>
      <c r="L89" s="27"/>
      <c r="N89" s="34"/>
      <c r="O89" s="32"/>
      <c r="P89" s="31"/>
      <c r="Q89" s="33"/>
      <c r="R89" s="33"/>
      <c r="S89" s="31"/>
    </row>
    <row r="90" spans="1:20" x14ac:dyDescent="0.3">
      <c r="A90" s="30"/>
      <c r="B90" s="47"/>
      <c r="C90" s="46"/>
      <c r="D90" s="30"/>
      <c r="E90" s="30"/>
      <c r="F90" s="30"/>
      <c r="G90" s="30"/>
      <c r="H90" s="30"/>
      <c r="I90" s="30"/>
      <c r="J90" s="30"/>
      <c r="K90" s="30"/>
      <c r="O90" s="32"/>
      <c r="P90" s="31"/>
      <c r="Q90" s="33"/>
      <c r="R90" s="33"/>
      <c r="S90" s="31"/>
    </row>
    <row r="91" spans="1:20" x14ac:dyDescent="0.3">
      <c r="A91" s="30"/>
      <c r="B91" s="45"/>
      <c r="C91" s="62"/>
      <c r="D91" s="30"/>
      <c r="E91" s="30"/>
      <c r="F91" s="30"/>
      <c r="G91" s="30"/>
      <c r="H91" s="30"/>
      <c r="I91" s="30"/>
      <c r="J91" s="30"/>
      <c r="K91" s="30"/>
      <c r="O91" s="32"/>
      <c r="P91" s="31"/>
      <c r="Q91" s="33"/>
      <c r="R91" s="33"/>
      <c r="S91" s="31"/>
    </row>
    <row r="92" spans="1:20" x14ac:dyDescent="0.3">
      <c r="A92" s="30"/>
      <c r="B92" s="30"/>
      <c r="C92" s="30"/>
      <c r="D92" s="30"/>
      <c r="E92" s="30"/>
      <c r="F92" s="30"/>
      <c r="G92" s="30"/>
      <c r="H92" s="30"/>
      <c r="I92" s="30"/>
      <c r="J92" s="30"/>
      <c r="K92" s="30"/>
      <c r="O92" s="32"/>
      <c r="P92" s="31"/>
      <c r="Q92" s="33"/>
      <c r="R92" s="33"/>
      <c r="S92" s="31"/>
      <c r="T92" s="30"/>
    </row>
    <row r="93" spans="1:20" x14ac:dyDescent="0.3">
      <c r="A93" s="30"/>
      <c r="B93" s="49"/>
      <c r="C93" s="30"/>
      <c r="D93" s="30"/>
      <c r="E93" s="30"/>
      <c r="F93" s="30"/>
      <c r="G93" s="30"/>
      <c r="H93" s="30"/>
      <c r="I93" s="30"/>
      <c r="J93" s="30"/>
      <c r="K93" s="30"/>
      <c r="O93" s="32"/>
      <c r="P93" s="31"/>
      <c r="Q93" s="33"/>
      <c r="R93" s="33"/>
      <c r="S93" s="31"/>
      <c r="T93" s="30"/>
    </row>
    <row r="94" spans="1:20" x14ac:dyDescent="0.3">
      <c r="A94" s="30"/>
      <c r="B94" s="38"/>
      <c r="C94" s="41"/>
      <c r="D94" s="41"/>
      <c r="E94" s="41"/>
      <c r="F94" s="42"/>
      <c r="G94" s="30"/>
      <c r="H94" s="30"/>
      <c r="I94" s="30"/>
      <c r="J94" s="30"/>
      <c r="K94" s="30"/>
      <c r="O94" s="32"/>
      <c r="P94" s="31"/>
      <c r="Q94" s="33"/>
      <c r="R94" s="33"/>
      <c r="S94" s="31"/>
      <c r="T94" s="30"/>
    </row>
    <row r="95" spans="1:20" x14ac:dyDescent="0.3">
      <c r="A95" s="30"/>
      <c r="B95" s="43"/>
      <c r="C95" s="39"/>
      <c r="D95" s="40"/>
      <c r="E95" s="41"/>
      <c r="F95" s="42"/>
      <c r="G95" s="30"/>
      <c r="H95" s="30"/>
      <c r="I95" s="30"/>
      <c r="J95" s="30"/>
      <c r="K95" s="30"/>
      <c r="O95" s="32"/>
      <c r="P95" s="31"/>
      <c r="Q95" s="33"/>
      <c r="R95" s="33"/>
      <c r="S95" s="31"/>
      <c r="T95" s="30"/>
    </row>
    <row r="96" spans="1:20" x14ac:dyDescent="0.3">
      <c r="A96" s="30"/>
      <c r="B96" s="43"/>
      <c r="C96" s="41"/>
      <c r="D96" s="41"/>
      <c r="E96" s="41"/>
      <c r="F96" s="42"/>
      <c r="G96" s="30"/>
      <c r="H96" s="30"/>
      <c r="I96" s="30"/>
      <c r="J96" s="30"/>
      <c r="K96" s="30"/>
      <c r="O96" s="32"/>
      <c r="P96" s="31"/>
      <c r="Q96" s="33"/>
      <c r="R96" s="33"/>
      <c r="S96" s="31"/>
      <c r="T96" s="30"/>
    </row>
    <row r="97" spans="1:20" x14ac:dyDescent="0.3">
      <c r="A97" s="30"/>
      <c r="B97" s="45"/>
      <c r="C97" s="60"/>
      <c r="D97" s="30"/>
      <c r="E97" s="30"/>
      <c r="F97" s="30"/>
      <c r="G97" s="30"/>
      <c r="H97" s="30"/>
      <c r="I97" s="30"/>
      <c r="J97" s="30"/>
      <c r="K97" s="30"/>
      <c r="O97" s="32"/>
      <c r="P97" s="31"/>
      <c r="Q97" s="33"/>
      <c r="R97" s="33"/>
      <c r="S97" s="31"/>
      <c r="T97" s="30"/>
    </row>
    <row r="98" spans="1:20" x14ac:dyDescent="0.3">
      <c r="A98" s="30"/>
      <c r="B98" s="45"/>
      <c r="C98" s="61"/>
      <c r="D98" s="30"/>
      <c r="E98" s="30"/>
      <c r="F98" s="30"/>
      <c r="G98" s="30"/>
      <c r="H98" s="30"/>
      <c r="I98" s="30"/>
      <c r="J98" s="30"/>
      <c r="K98" s="30"/>
      <c r="O98" s="32"/>
      <c r="P98" s="31"/>
      <c r="Q98" s="33"/>
      <c r="R98" s="33"/>
      <c r="S98" s="31"/>
      <c r="T98" s="30"/>
    </row>
    <row r="99" spans="1:20" x14ac:dyDescent="0.3">
      <c r="A99" s="30"/>
      <c r="B99" s="47"/>
      <c r="C99" s="46"/>
      <c r="D99" s="30"/>
      <c r="E99" s="30"/>
      <c r="F99" s="30"/>
      <c r="G99" s="30"/>
      <c r="H99" s="30"/>
      <c r="I99" s="30"/>
      <c r="J99" s="30"/>
      <c r="K99" s="30"/>
      <c r="O99" s="32"/>
      <c r="P99" s="31"/>
      <c r="Q99" s="33"/>
      <c r="R99" s="33"/>
      <c r="S99" s="31"/>
      <c r="T99" s="30"/>
    </row>
    <row r="100" spans="1:20" x14ac:dyDescent="0.3">
      <c r="A100" s="30"/>
      <c r="B100" s="45"/>
      <c r="C100" s="62"/>
      <c r="D100" s="30"/>
      <c r="E100" s="30"/>
      <c r="F100" s="30"/>
      <c r="G100" s="30"/>
      <c r="H100" s="30"/>
      <c r="I100" s="30"/>
      <c r="J100" s="30"/>
      <c r="K100" s="30"/>
      <c r="O100" s="32"/>
      <c r="P100" s="31"/>
      <c r="Q100" s="33"/>
      <c r="R100" s="33"/>
      <c r="S100" s="31"/>
      <c r="T100" s="30"/>
    </row>
    <row r="101" spans="1:20" x14ac:dyDescent="0.3">
      <c r="A101" s="30"/>
      <c r="B101" s="30"/>
      <c r="C101" s="63"/>
      <c r="D101" s="30"/>
      <c r="E101" s="30"/>
      <c r="F101" s="30"/>
      <c r="G101" s="30"/>
      <c r="H101" s="30"/>
      <c r="I101" s="30"/>
      <c r="J101" s="30"/>
      <c r="K101" s="30"/>
      <c r="O101" s="32"/>
      <c r="P101" s="31"/>
      <c r="Q101" s="33"/>
      <c r="R101" s="33"/>
      <c r="S101" s="31"/>
      <c r="T101" s="30"/>
    </row>
    <row r="102" spans="1:20" x14ac:dyDescent="0.3">
      <c r="A102" s="30"/>
      <c r="B102" s="49"/>
      <c r="C102" s="30"/>
      <c r="D102" s="30"/>
      <c r="E102" s="30"/>
      <c r="F102" s="30"/>
      <c r="G102" s="30"/>
      <c r="H102" s="30"/>
      <c r="I102" s="30"/>
      <c r="J102" s="30"/>
      <c r="K102" s="30"/>
      <c r="O102" s="32"/>
      <c r="P102" s="31"/>
      <c r="Q102" s="33"/>
      <c r="R102" s="33"/>
      <c r="S102" s="31"/>
      <c r="T102" s="30"/>
    </row>
    <row r="103" spans="1:20" x14ac:dyDescent="0.3">
      <c r="A103" s="30"/>
      <c r="B103" s="38"/>
      <c r="C103" s="41"/>
      <c r="D103" s="41"/>
      <c r="E103" s="41"/>
      <c r="F103" s="42"/>
      <c r="G103" s="30"/>
      <c r="H103" s="30"/>
      <c r="I103" s="30"/>
      <c r="J103" s="30"/>
      <c r="K103" s="30"/>
      <c r="O103" s="32"/>
      <c r="P103" s="31"/>
      <c r="Q103" s="33"/>
      <c r="R103" s="33"/>
      <c r="S103" s="31"/>
      <c r="T103" s="30"/>
    </row>
    <row r="104" spans="1:20" x14ac:dyDescent="0.3">
      <c r="A104" s="30"/>
      <c r="B104" s="43"/>
      <c r="C104" s="39"/>
      <c r="D104" s="40"/>
      <c r="E104" s="41"/>
      <c r="F104" s="42"/>
      <c r="G104" s="30"/>
      <c r="H104" s="30"/>
      <c r="I104" s="30"/>
      <c r="J104" s="30"/>
      <c r="K104" s="30"/>
      <c r="O104" s="32"/>
      <c r="P104" s="31"/>
      <c r="Q104" s="33"/>
      <c r="R104" s="33"/>
      <c r="S104" s="31"/>
      <c r="T104" s="30"/>
    </row>
    <row r="105" spans="1:20" x14ac:dyDescent="0.3">
      <c r="A105" s="30"/>
      <c r="B105" s="43"/>
      <c r="C105" s="41"/>
      <c r="D105" s="41"/>
      <c r="E105" s="41"/>
      <c r="F105" s="42"/>
      <c r="G105" s="30"/>
      <c r="H105" s="30"/>
      <c r="I105" s="30"/>
      <c r="J105" s="30"/>
      <c r="K105" s="30"/>
      <c r="O105" s="32"/>
      <c r="P105" s="31"/>
      <c r="Q105" s="33"/>
      <c r="R105" s="33"/>
      <c r="S105" s="31"/>
      <c r="T105" s="30"/>
    </row>
    <row r="106" spans="1:20" x14ac:dyDescent="0.3">
      <c r="A106" s="30"/>
      <c r="B106" s="45"/>
      <c r="C106" s="60"/>
      <c r="D106" s="30"/>
      <c r="E106" s="30"/>
      <c r="F106" s="30"/>
      <c r="G106" s="30"/>
      <c r="H106" s="30"/>
      <c r="I106" s="30"/>
      <c r="J106" s="30"/>
      <c r="K106" s="30"/>
      <c r="O106" s="32"/>
      <c r="P106" s="31"/>
      <c r="Q106" s="33"/>
      <c r="R106" s="33"/>
      <c r="S106" s="31"/>
      <c r="T106" s="30"/>
    </row>
    <row r="107" spans="1:20" x14ac:dyDescent="0.3">
      <c r="A107" s="30"/>
      <c r="B107" s="45"/>
      <c r="C107" s="61"/>
      <c r="D107" s="30"/>
      <c r="E107" s="30"/>
      <c r="F107" s="30"/>
      <c r="G107" s="30"/>
      <c r="H107" s="30"/>
      <c r="I107" s="30"/>
      <c r="J107" s="30"/>
      <c r="K107" s="30"/>
      <c r="O107" s="32"/>
      <c r="P107" s="31"/>
      <c r="Q107" s="33"/>
      <c r="R107" s="33"/>
      <c r="S107" s="31"/>
      <c r="T107" s="30"/>
    </row>
    <row r="108" spans="1:20" x14ac:dyDescent="0.3">
      <c r="A108" s="30"/>
      <c r="B108" s="47"/>
      <c r="C108" s="46"/>
      <c r="D108" s="30"/>
      <c r="E108" s="30"/>
      <c r="F108" s="30"/>
      <c r="G108" s="30"/>
      <c r="H108" s="30"/>
      <c r="I108" s="30"/>
      <c r="J108" s="30"/>
      <c r="K108" s="30"/>
      <c r="O108" s="32"/>
      <c r="P108" s="31"/>
      <c r="Q108" s="33"/>
      <c r="R108" s="33"/>
      <c r="S108" s="31"/>
      <c r="T108" s="30"/>
    </row>
    <row r="109" spans="1:20" x14ac:dyDescent="0.3">
      <c r="A109" s="30"/>
      <c r="B109" s="45"/>
      <c r="C109" s="62"/>
      <c r="D109" s="30"/>
      <c r="E109" s="30"/>
      <c r="F109" s="30"/>
      <c r="G109" s="30"/>
      <c r="H109" s="30"/>
      <c r="I109" s="30"/>
      <c r="J109" s="30"/>
      <c r="K109" s="30"/>
      <c r="O109" s="32"/>
      <c r="P109" s="31"/>
      <c r="Q109" s="33"/>
      <c r="R109" s="33"/>
      <c r="S109" s="31"/>
      <c r="T109" s="30"/>
    </row>
    <row r="110" spans="1:20" x14ac:dyDescent="0.3">
      <c r="A110" s="30"/>
      <c r="B110" s="30"/>
      <c r="C110" s="30"/>
      <c r="D110" s="30"/>
      <c r="E110" s="30"/>
      <c r="F110" s="30"/>
      <c r="G110" s="30"/>
      <c r="H110" s="30"/>
      <c r="I110" s="30"/>
      <c r="J110" s="30"/>
      <c r="K110" s="30"/>
      <c r="O110" s="32"/>
      <c r="P110" s="31"/>
      <c r="Q110" s="33"/>
      <c r="R110" s="33"/>
      <c r="S110" s="31"/>
      <c r="T110" s="30"/>
    </row>
    <row r="111" spans="1:20" x14ac:dyDescent="0.3">
      <c r="A111" s="30"/>
      <c r="B111" s="45"/>
      <c r="C111" s="64"/>
      <c r="D111" s="30"/>
      <c r="E111" s="30"/>
      <c r="F111" s="30"/>
      <c r="G111" s="30"/>
      <c r="H111" s="30"/>
      <c r="I111" s="30"/>
      <c r="J111" s="30"/>
      <c r="K111" s="30"/>
      <c r="O111" s="32"/>
      <c r="P111" s="31"/>
      <c r="Q111" s="33"/>
      <c r="R111" s="33"/>
      <c r="S111" s="31"/>
      <c r="T111" s="30"/>
    </row>
    <row r="112" spans="1:20" x14ac:dyDescent="0.3">
      <c r="A112" s="30"/>
      <c r="B112" s="30"/>
      <c r="C112" s="45"/>
      <c r="D112" s="63"/>
      <c r="E112" s="30"/>
      <c r="F112" s="30"/>
      <c r="G112" s="30"/>
      <c r="H112" s="30"/>
      <c r="I112" s="30"/>
      <c r="J112" s="30"/>
      <c r="K112" s="30"/>
      <c r="O112" s="32"/>
      <c r="P112" s="31"/>
      <c r="Q112" s="33"/>
      <c r="R112" s="33"/>
      <c r="S112" s="31"/>
      <c r="T112" s="30"/>
    </row>
    <row r="113" spans="1:20" x14ac:dyDescent="0.3">
      <c r="A113" s="30"/>
      <c r="I113" s="30"/>
      <c r="J113" s="30"/>
      <c r="K113" s="30"/>
      <c r="O113" s="32"/>
      <c r="P113" s="31"/>
      <c r="Q113" s="33"/>
      <c r="R113" s="33"/>
      <c r="S113" s="31"/>
      <c r="T113" s="30"/>
    </row>
    <row r="114" spans="1:20" x14ac:dyDescent="0.3">
      <c r="A114" s="30"/>
      <c r="I114" s="30"/>
      <c r="J114" s="30"/>
      <c r="K114" s="30"/>
      <c r="O114" s="32"/>
      <c r="P114" s="31"/>
      <c r="Q114" s="33"/>
      <c r="R114" s="33"/>
      <c r="S114" s="31"/>
      <c r="T114" s="30"/>
    </row>
    <row r="115" spans="1:20" x14ac:dyDescent="0.3">
      <c r="A115" s="30"/>
      <c r="I115" s="30"/>
      <c r="J115" s="30"/>
      <c r="K115" s="30"/>
      <c r="O115" s="32"/>
      <c r="P115" s="31"/>
      <c r="Q115" s="33"/>
      <c r="R115" s="33"/>
      <c r="S115" s="31"/>
      <c r="T115" s="30"/>
    </row>
    <row r="116" spans="1:20" x14ac:dyDescent="0.3">
      <c r="A116" s="30"/>
      <c r="I116" s="30"/>
      <c r="J116" s="30"/>
      <c r="K116" s="30"/>
      <c r="O116" s="32"/>
      <c r="P116" s="31"/>
      <c r="Q116" s="33"/>
      <c r="R116" s="33"/>
      <c r="S116" s="31"/>
      <c r="T116" s="30"/>
    </row>
    <row r="117" spans="1:20" x14ac:dyDescent="0.3">
      <c r="A117" s="30"/>
      <c r="I117" s="30"/>
      <c r="J117" s="30"/>
      <c r="K117" s="30"/>
      <c r="O117" s="32"/>
      <c r="P117" s="31"/>
      <c r="Q117" s="33"/>
      <c r="R117" s="33"/>
      <c r="S117" s="31"/>
      <c r="T117" s="30"/>
    </row>
    <row r="118" spans="1:20" x14ac:dyDescent="0.3">
      <c r="A118" s="30"/>
      <c r="I118" s="30"/>
      <c r="J118" s="30"/>
      <c r="K118" s="30"/>
      <c r="O118" s="32"/>
      <c r="P118" s="31"/>
      <c r="Q118" s="33"/>
      <c r="R118" s="33"/>
      <c r="S118" s="31"/>
      <c r="T118" s="30"/>
    </row>
    <row r="119" spans="1:20" x14ac:dyDescent="0.3">
      <c r="A119" s="30"/>
      <c r="I119" s="30"/>
      <c r="J119" s="30"/>
      <c r="K119" s="30"/>
      <c r="O119" s="32"/>
      <c r="P119" s="31"/>
      <c r="Q119" s="33"/>
      <c r="R119" s="33"/>
      <c r="S119" s="31"/>
      <c r="T119" s="30"/>
    </row>
    <row r="120" spans="1:20" x14ac:dyDescent="0.3">
      <c r="A120" s="30"/>
      <c r="I120" s="30"/>
      <c r="J120" s="30"/>
      <c r="K120" s="30"/>
      <c r="O120" s="32"/>
      <c r="P120" s="31"/>
      <c r="Q120" s="33"/>
      <c r="R120" s="33"/>
      <c r="S120" s="31"/>
      <c r="T120" s="30"/>
    </row>
    <row r="121" spans="1:20" x14ac:dyDescent="0.3">
      <c r="A121" s="30"/>
      <c r="I121" s="30"/>
      <c r="J121" s="30"/>
      <c r="K121" s="30"/>
      <c r="O121" s="32"/>
      <c r="P121" s="31"/>
      <c r="Q121" s="33"/>
      <c r="R121" s="33"/>
      <c r="S121" s="31"/>
      <c r="T121" s="30"/>
    </row>
    <row r="122" spans="1:20" x14ac:dyDescent="0.3">
      <c r="A122" s="190"/>
      <c r="B122" s="193"/>
      <c r="C122" s="195"/>
      <c r="D122" s="190"/>
      <c r="E122" s="190"/>
      <c r="F122" s="190"/>
      <c r="G122" s="195"/>
      <c r="H122" s="190"/>
      <c r="I122" s="190"/>
      <c r="J122" s="190"/>
      <c r="K122" s="190"/>
      <c r="O122" s="32"/>
      <c r="P122" s="31"/>
      <c r="Q122" s="33"/>
      <c r="R122" s="33"/>
      <c r="S122" s="31"/>
      <c r="T122" s="30"/>
    </row>
    <row r="123" spans="1:20" x14ac:dyDescent="0.3">
      <c r="A123" s="190"/>
      <c r="B123" s="196"/>
      <c r="C123" s="195"/>
      <c r="D123" s="197"/>
      <c r="E123" s="197"/>
      <c r="F123" s="198" t="s">
        <v>159</v>
      </c>
      <c r="G123" s="195"/>
      <c r="H123" s="197"/>
      <c r="I123" s="197"/>
      <c r="J123" s="197"/>
      <c r="K123" s="190"/>
      <c r="O123" s="32"/>
      <c r="P123" s="31"/>
      <c r="Q123" s="33"/>
      <c r="R123" s="33"/>
      <c r="S123" s="31"/>
      <c r="T123" s="30"/>
    </row>
    <row r="124" spans="1:20" x14ac:dyDescent="0.3">
      <c r="A124" s="190"/>
      <c r="B124" s="197"/>
      <c r="C124" s="197"/>
      <c r="D124" s="197"/>
      <c r="E124" s="197"/>
      <c r="F124" s="199" t="s">
        <v>160</v>
      </c>
      <c r="G124" s="197"/>
      <c r="H124" s="197"/>
      <c r="I124" s="197"/>
      <c r="J124" s="197"/>
      <c r="K124" s="190"/>
      <c r="O124" s="32"/>
      <c r="P124" s="31"/>
      <c r="Q124" s="33"/>
      <c r="R124" s="33"/>
      <c r="S124" s="31"/>
      <c r="T124" s="30"/>
    </row>
    <row r="125" spans="1:20" x14ac:dyDescent="0.3">
      <c r="A125" s="14"/>
      <c r="B125" s="5"/>
      <c r="C125" s="5"/>
      <c r="D125" s="5"/>
      <c r="E125" s="7" t="s">
        <v>1</v>
      </c>
      <c r="F125" s="8" t="str">
        <f>$C$1</f>
        <v>R. Abbott</v>
      </c>
      <c r="G125" s="5"/>
      <c r="H125" s="15"/>
      <c r="I125" s="7" t="s">
        <v>8</v>
      </c>
      <c r="J125" s="16" t="str">
        <f>$G$2</f>
        <v>AA-SM-503</v>
      </c>
      <c r="K125" s="17"/>
      <c r="L125" s="18"/>
      <c r="M125" s="9"/>
      <c r="N125" s="9"/>
      <c r="O125" s="9"/>
      <c r="P125" s="9"/>
      <c r="Q125" s="33"/>
      <c r="R125" s="33"/>
      <c r="S125" s="31"/>
      <c r="T125" s="30"/>
    </row>
    <row r="126" spans="1:20" x14ac:dyDescent="0.3">
      <c r="A126" s="5"/>
      <c r="B126" s="5"/>
      <c r="C126" s="5"/>
      <c r="D126" s="5"/>
      <c r="E126" s="7" t="s">
        <v>2</v>
      </c>
      <c r="F126" s="15" t="str">
        <f>$C$2</f>
        <v xml:space="preserve"> </v>
      </c>
      <c r="G126" s="5"/>
      <c r="H126" s="15"/>
      <c r="I126" s="7" t="s">
        <v>9</v>
      </c>
      <c r="J126" s="17" t="str">
        <f>$G$3</f>
        <v>IR</v>
      </c>
      <c r="K126" s="17"/>
      <c r="L126" s="18"/>
      <c r="M126" s="9">
        <v>1</v>
      </c>
      <c r="N126" s="9"/>
      <c r="O126" s="9"/>
      <c r="P126" s="9"/>
      <c r="Q126" s="33"/>
      <c r="R126" s="33"/>
      <c r="S126" s="31"/>
    </row>
    <row r="127" spans="1:20" ht="13.5" customHeight="1" x14ac:dyDescent="0.3">
      <c r="A127" s="5"/>
      <c r="B127" s="5"/>
      <c r="C127" s="5"/>
      <c r="D127" s="5"/>
      <c r="E127" s="7" t="s">
        <v>3</v>
      </c>
      <c r="F127" s="15" t="str">
        <f>$C$3</f>
        <v>20/10/2013</v>
      </c>
      <c r="G127" s="5"/>
      <c r="H127" s="15"/>
      <c r="I127" s="7" t="s">
        <v>6</v>
      </c>
      <c r="J127" s="8" t="str">
        <f>L127&amp;" of "&amp;$G$1</f>
        <v>3 of 15</v>
      </c>
      <c r="K127" s="15"/>
      <c r="L127" s="18">
        <f>SUM($M$1:M126)</f>
        <v>3</v>
      </c>
      <c r="M127" s="9"/>
      <c r="N127" s="9"/>
      <c r="O127" s="9"/>
      <c r="P127" s="9"/>
      <c r="Q127" s="33"/>
      <c r="R127" s="33"/>
      <c r="S127" s="31"/>
    </row>
    <row r="128" spans="1:20" x14ac:dyDescent="0.3">
      <c r="E128" s="7" t="s">
        <v>131</v>
      </c>
      <c r="F128" s="15" t="str">
        <f>$C$5</f>
        <v>STANDARD SPREADSHEET METHOD</v>
      </c>
      <c r="G128" s="5"/>
      <c r="H128" s="5"/>
      <c r="I128" s="19"/>
      <c r="J128" s="8"/>
      <c r="K128" s="5"/>
      <c r="L128" s="5"/>
      <c r="M128" s="9"/>
      <c r="N128" s="9"/>
      <c r="O128" s="9"/>
      <c r="P128" s="9"/>
      <c r="Q128" s="33"/>
      <c r="R128" s="33"/>
      <c r="S128" s="31"/>
    </row>
    <row r="129" spans="1:19" ht="13.5" customHeight="1" x14ac:dyDescent="0.3">
      <c r="A129" s="190"/>
      <c r="B129" s="21" t="str">
        <f>$G$4</f>
        <v>SIMPLE LANDING GEAR LOADS</v>
      </c>
      <c r="C129" s="190"/>
      <c r="D129" s="190"/>
      <c r="E129" s="190"/>
      <c r="F129" s="190"/>
      <c r="G129" s="190"/>
      <c r="H129" s="190"/>
      <c r="I129" s="190"/>
      <c r="J129" s="190"/>
      <c r="K129" s="190"/>
      <c r="L129" s="191"/>
      <c r="M129" s="192"/>
      <c r="N129" s="192"/>
      <c r="O129" s="192"/>
      <c r="P129" s="192"/>
      <c r="Q129" s="33"/>
      <c r="R129" s="33"/>
      <c r="S129" s="31"/>
    </row>
    <row r="130" spans="1:19" x14ac:dyDescent="0.3">
      <c r="A130" s="37"/>
      <c r="B130" s="49" t="s">
        <v>35</v>
      </c>
      <c r="C130" s="30"/>
      <c r="D130" s="30"/>
      <c r="E130" s="30"/>
      <c r="F130" s="30"/>
      <c r="G130" s="30"/>
      <c r="H130" s="30"/>
      <c r="I130" s="30"/>
      <c r="J130" s="30"/>
      <c r="K130" s="30"/>
      <c r="O130" s="32"/>
      <c r="P130" s="31"/>
      <c r="Q130" s="33"/>
      <c r="R130" s="33"/>
      <c r="S130" s="31"/>
    </row>
    <row r="131" spans="1:19" x14ac:dyDescent="0.3">
      <c r="F131" s="54"/>
      <c r="G131" s="54"/>
      <c r="O131" s="32"/>
      <c r="P131" s="31"/>
      <c r="Q131" s="33"/>
      <c r="R131" s="33"/>
      <c r="S131" s="31"/>
    </row>
    <row r="132" spans="1:19" x14ac:dyDescent="0.3">
      <c r="O132" s="32"/>
      <c r="P132" s="31"/>
      <c r="Q132" s="33"/>
      <c r="R132" s="33"/>
      <c r="S132" s="31"/>
    </row>
    <row r="133" spans="1:19" x14ac:dyDescent="0.3">
      <c r="B133" s="25"/>
      <c r="C133" s="65"/>
      <c r="D133" s="65"/>
      <c r="E133" s="66"/>
      <c r="L133" s="27"/>
      <c r="N133" s="34"/>
      <c r="O133" s="32"/>
      <c r="P133" s="31"/>
      <c r="Q133" s="33"/>
      <c r="R133" s="33"/>
      <c r="S133" s="31"/>
    </row>
    <row r="134" spans="1:19" x14ac:dyDescent="0.3">
      <c r="E134" s="66"/>
      <c r="F134" s="53"/>
      <c r="L134" s="27"/>
      <c r="N134" s="34"/>
      <c r="O134" s="32"/>
      <c r="P134" s="31"/>
      <c r="Q134" s="33"/>
      <c r="R134" s="33"/>
      <c r="S134" s="31"/>
    </row>
    <row r="135" spans="1:19" x14ac:dyDescent="0.3">
      <c r="C135" s="25" t="s">
        <v>36</v>
      </c>
      <c r="D135" s="66"/>
      <c r="E135" s="66"/>
      <c r="L135" s="27"/>
      <c r="N135" s="34"/>
      <c r="O135" s="32"/>
      <c r="P135" s="31"/>
      <c r="Q135" s="33"/>
      <c r="R135" s="33"/>
      <c r="S135" s="31"/>
    </row>
    <row r="136" spans="1:19" x14ac:dyDescent="0.3">
      <c r="B136" s="25"/>
      <c r="C136" s="65"/>
      <c r="D136" s="66"/>
      <c r="F136" s="54"/>
      <c r="L136" s="27"/>
      <c r="N136" s="34"/>
      <c r="O136" s="32"/>
      <c r="P136" s="31"/>
      <c r="Q136" s="33"/>
      <c r="R136" s="33"/>
      <c r="S136" s="31"/>
    </row>
    <row r="137" spans="1:19" x14ac:dyDescent="0.3">
      <c r="B137" s="25"/>
      <c r="D137" s="66"/>
      <c r="E137" s="66"/>
      <c r="F137" s="54"/>
      <c r="L137" s="27"/>
      <c r="N137" s="34"/>
      <c r="O137" s="32"/>
      <c r="P137" s="31"/>
      <c r="Q137" s="33"/>
      <c r="R137" s="33"/>
      <c r="S137" s="31"/>
    </row>
    <row r="138" spans="1:19" x14ac:dyDescent="0.3">
      <c r="B138" s="25"/>
      <c r="C138" s="66"/>
      <c r="D138" s="66"/>
      <c r="E138" s="66"/>
      <c r="F138" s="54"/>
      <c r="L138" s="27"/>
      <c r="N138" s="34"/>
      <c r="O138" s="32"/>
      <c r="P138" s="31"/>
      <c r="Q138" s="33"/>
      <c r="R138" s="33"/>
      <c r="S138" s="31"/>
    </row>
    <row r="139" spans="1:19" x14ac:dyDescent="0.3">
      <c r="B139" s="67"/>
      <c r="C139" s="68"/>
      <c r="D139" s="66"/>
      <c r="E139" s="66"/>
      <c r="F139" s="54"/>
      <c r="L139" s="27"/>
      <c r="N139" s="34"/>
      <c r="O139" s="32"/>
      <c r="P139" s="31"/>
      <c r="Q139" s="33"/>
      <c r="R139" s="33"/>
      <c r="S139" s="31"/>
    </row>
    <row r="140" spans="1:19" x14ac:dyDescent="0.3">
      <c r="B140" s="67"/>
      <c r="C140" s="69"/>
      <c r="D140" s="65"/>
      <c r="E140" s="66"/>
      <c r="L140" s="27"/>
      <c r="N140" s="34"/>
      <c r="O140" s="32"/>
      <c r="P140" s="31"/>
      <c r="Q140" s="33"/>
      <c r="R140" s="33"/>
      <c r="S140" s="31"/>
    </row>
    <row r="141" spans="1:19" x14ac:dyDescent="0.3">
      <c r="B141" s="25"/>
      <c r="C141" s="68"/>
      <c r="D141" s="65"/>
      <c r="E141" s="66"/>
      <c r="F141" s="50"/>
      <c r="L141" s="27"/>
      <c r="N141" s="34"/>
      <c r="O141" s="32"/>
      <c r="P141" s="31"/>
      <c r="Q141" s="33"/>
      <c r="R141" s="33"/>
      <c r="S141" s="31"/>
    </row>
    <row r="142" spans="1:19" x14ac:dyDescent="0.3">
      <c r="H142" s="25" t="s">
        <v>135</v>
      </c>
      <c r="I142" s="70">
        <v>161.69999999999999</v>
      </c>
      <c r="J142" s="71" t="s">
        <v>136</v>
      </c>
      <c r="L142" s="27"/>
      <c r="N142" s="34"/>
      <c r="O142" s="32"/>
      <c r="P142" s="31"/>
      <c r="Q142" s="33"/>
      <c r="R142" s="33"/>
      <c r="S142" s="31"/>
    </row>
    <row r="143" spans="1:19" x14ac:dyDescent="0.3">
      <c r="B143" s="72"/>
      <c r="C143" s="65"/>
      <c r="D143" s="66"/>
      <c r="H143" s="25"/>
      <c r="I143" s="50"/>
      <c r="J143" s="50"/>
      <c r="L143" s="27"/>
      <c r="N143" s="34"/>
      <c r="O143" s="32"/>
      <c r="P143" s="31"/>
      <c r="Q143" s="33"/>
      <c r="R143" s="33"/>
      <c r="S143" s="31"/>
    </row>
    <row r="144" spans="1:19" x14ac:dyDescent="0.3">
      <c r="C144" s="66"/>
      <c r="D144" s="66"/>
      <c r="F144" s="54"/>
      <c r="H144" s="25"/>
      <c r="I144" s="50"/>
      <c r="L144" s="27"/>
      <c r="N144" s="34"/>
      <c r="O144" s="32"/>
      <c r="P144" s="31"/>
      <c r="Q144" s="33"/>
      <c r="R144" s="33"/>
      <c r="S144" s="31"/>
    </row>
    <row r="145" spans="1:62" x14ac:dyDescent="0.3">
      <c r="C145" s="73"/>
      <c r="F145" s="54"/>
      <c r="L145" s="27"/>
      <c r="N145" s="34"/>
      <c r="O145" s="32"/>
      <c r="P145" s="31"/>
      <c r="Q145" s="33"/>
      <c r="R145" s="33"/>
      <c r="S145" s="31"/>
    </row>
    <row r="146" spans="1:62" x14ac:dyDescent="0.3">
      <c r="C146" s="74"/>
      <c r="D146" s="71"/>
      <c r="F146" s="54"/>
      <c r="G146" s="38"/>
      <c r="H146" s="41"/>
      <c r="I146" s="41"/>
      <c r="J146" s="41"/>
      <c r="L146" s="27"/>
      <c r="N146" s="34"/>
      <c r="O146" s="32"/>
      <c r="P146" s="31"/>
      <c r="Q146" s="33"/>
      <c r="R146" s="33"/>
      <c r="S146" s="31"/>
    </row>
    <row r="147" spans="1:62" x14ac:dyDescent="0.3">
      <c r="B147" s="75">
        <v>40.46</v>
      </c>
      <c r="D147" s="76">
        <f>C149-B147</f>
        <v>238.6</v>
      </c>
      <c r="E147" s="27" t="s">
        <v>11</v>
      </c>
      <c r="F147" s="25"/>
      <c r="G147" s="43"/>
      <c r="H147" s="39"/>
      <c r="I147" s="40"/>
      <c r="J147" s="41"/>
      <c r="L147" s="27"/>
      <c r="N147" s="34"/>
      <c r="O147" s="32"/>
      <c r="P147" s="31"/>
      <c r="Q147" s="33"/>
      <c r="R147" s="33"/>
      <c r="S147" s="31"/>
    </row>
    <row r="148" spans="1:62" x14ac:dyDescent="0.3">
      <c r="G148" s="43"/>
      <c r="H148" s="41"/>
      <c r="I148" s="41"/>
      <c r="J148" s="41"/>
      <c r="O148" s="32"/>
      <c r="P148" s="31"/>
      <c r="Q148" s="33"/>
      <c r="R148" s="33"/>
      <c r="S148" s="31"/>
    </row>
    <row r="149" spans="1:62" x14ac:dyDescent="0.3">
      <c r="B149" s="72"/>
      <c r="C149" s="77">
        <v>279.06</v>
      </c>
      <c r="D149" s="27" t="s">
        <v>11</v>
      </c>
      <c r="E149" s="66"/>
      <c r="F149" s="54"/>
      <c r="G149" s="45"/>
      <c r="H149" s="60"/>
      <c r="I149" s="30"/>
      <c r="J149" s="30"/>
      <c r="O149" s="32"/>
      <c r="P149" s="31"/>
      <c r="Q149" s="33"/>
      <c r="R149" s="33"/>
      <c r="S149" s="31"/>
    </row>
    <row r="150" spans="1:62" x14ac:dyDescent="0.3">
      <c r="B150" s="72"/>
      <c r="C150" s="78"/>
      <c r="E150" s="66"/>
      <c r="F150" s="54"/>
      <c r="G150" s="45"/>
      <c r="H150" s="61"/>
      <c r="I150" s="30"/>
      <c r="J150" s="30"/>
      <c r="O150" s="32"/>
      <c r="P150" s="31"/>
      <c r="Q150" s="33"/>
      <c r="R150" s="33"/>
      <c r="S150" s="31"/>
    </row>
    <row r="151" spans="1:62" ht="8.25" customHeight="1" x14ac:dyDescent="0.3">
      <c r="B151" s="72"/>
      <c r="C151" s="78"/>
      <c r="E151" s="66"/>
      <c r="F151" s="54"/>
      <c r="G151" s="47"/>
      <c r="H151" s="46"/>
      <c r="I151" s="30"/>
      <c r="J151" s="30"/>
      <c r="O151" s="32"/>
      <c r="P151" s="31"/>
      <c r="Q151" s="33"/>
      <c r="R151" s="33"/>
      <c r="S151" s="31"/>
    </row>
    <row r="152" spans="1:62" x14ac:dyDescent="0.3">
      <c r="A152" s="37"/>
      <c r="B152" s="26" t="s">
        <v>114</v>
      </c>
      <c r="F152" s="26" t="s">
        <v>116</v>
      </c>
      <c r="G152" s="82"/>
      <c r="O152" s="32"/>
      <c r="P152" s="31"/>
      <c r="Q152" s="33"/>
      <c r="R152" s="33"/>
      <c r="S152" s="31"/>
      <c r="V152" s="41"/>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c r="BI152" s="79"/>
      <c r="BJ152" s="79"/>
    </row>
    <row r="153" spans="1:62" x14ac:dyDescent="0.3">
      <c r="G153" s="82"/>
      <c r="O153" s="32"/>
      <c r="P153" s="31"/>
      <c r="Q153" s="33"/>
      <c r="R153" s="33"/>
      <c r="S153" s="31"/>
    </row>
    <row r="154" spans="1:62" x14ac:dyDescent="0.3">
      <c r="B154" s="25" t="s">
        <v>37</v>
      </c>
      <c r="C154" s="80">
        <v>6989</v>
      </c>
      <c r="D154" s="27" t="s">
        <v>38</v>
      </c>
      <c r="F154" s="25" t="s">
        <v>37</v>
      </c>
      <c r="G154" s="80">
        <v>5273</v>
      </c>
      <c r="H154" s="27" t="s">
        <v>38</v>
      </c>
      <c r="O154" s="32"/>
      <c r="P154" s="31"/>
      <c r="Q154" s="33"/>
      <c r="R154" s="33"/>
      <c r="S154" s="31"/>
    </row>
    <row r="155" spans="1:62" ht="15" x14ac:dyDescent="0.35">
      <c r="B155" s="25" t="s">
        <v>138</v>
      </c>
      <c r="C155" s="80">
        <v>217.65</v>
      </c>
      <c r="D155" s="27" t="s">
        <v>11</v>
      </c>
      <c r="F155" s="25" t="s">
        <v>138</v>
      </c>
      <c r="G155" s="80">
        <v>238.45</v>
      </c>
      <c r="H155" s="27" t="s">
        <v>11</v>
      </c>
      <c r="O155" s="32"/>
      <c r="P155" s="31"/>
      <c r="Q155" s="33"/>
      <c r="R155" s="33"/>
      <c r="S155" s="31"/>
    </row>
    <row r="156" spans="1:62" ht="15" x14ac:dyDescent="0.35">
      <c r="B156" s="25" t="s">
        <v>139</v>
      </c>
      <c r="C156" s="81">
        <f>C154*(C155-$B$147)/$D$147</f>
        <v>5190.1966051969821</v>
      </c>
      <c r="D156" s="27" t="s">
        <v>38</v>
      </c>
      <c r="F156" s="25" t="s">
        <v>139</v>
      </c>
      <c r="G156" s="81">
        <f>G154*(G155-$B$147)/$D$147</f>
        <v>4375.5292120704107</v>
      </c>
      <c r="H156" s="27" t="s">
        <v>38</v>
      </c>
      <c r="O156" s="32"/>
      <c r="P156" s="31"/>
      <c r="Q156" s="33"/>
      <c r="R156" s="33"/>
      <c r="S156" s="31"/>
    </row>
    <row r="157" spans="1:62" ht="15" x14ac:dyDescent="0.35">
      <c r="B157" s="25" t="s">
        <v>140</v>
      </c>
      <c r="C157" s="81">
        <f>C154*($C$149-C155)/$D$147</f>
        <v>1798.8033948030177</v>
      </c>
      <c r="D157" s="27" t="s">
        <v>38</v>
      </c>
      <c r="F157" s="25" t="s">
        <v>140</v>
      </c>
      <c r="G157" s="81">
        <f>G154*($C$149-G155)/$D$147</f>
        <v>897.47078792958962</v>
      </c>
      <c r="H157" s="27" t="s">
        <v>38</v>
      </c>
      <c r="O157" s="32"/>
      <c r="P157" s="31"/>
      <c r="Q157" s="33"/>
      <c r="R157" s="33"/>
      <c r="S157" s="31"/>
    </row>
    <row r="158" spans="1:62" ht="15" x14ac:dyDescent="0.35">
      <c r="B158" s="25" t="s">
        <v>141</v>
      </c>
      <c r="C158" s="80">
        <v>13624</v>
      </c>
      <c r="D158" s="71" t="s">
        <v>75</v>
      </c>
      <c r="F158" s="25" t="s">
        <v>141</v>
      </c>
      <c r="G158" s="80">
        <v>11780</v>
      </c>
      <c r="H158" s="71" t="s">
        <v>75</v>
      </c>
      <c r="O158" s="32"/>
      <c r="P158" s="31"/>
      <c r="Q158" s="33"/>
      <c r="R158" s="33"/>
      <c r="S158" s="31"/>
    </row>
    <row r="159" spans="1:62" x14ac:dyDescent="0.3">
      <c r="A159" s="37"/>
      <c r="B159" s="26" t="s">
        <v>115</v>
      </c>
      <c r="C159" s="82"/>
      <c r="F159" s="26" t="s">
        <v>117</v>
      </c>
      <c r="G159" s="82"/>
      <c r="O159" s="32"/>
      <c r="P159" s="31"/>
      <c r="Q159" s="33"/>
      <c r="R159" s="33"/>
      <c r="S159" s="31"/>
      <c r="V159" s="41"/>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79"/>
      <c r="BB159" s="79"/>
      <c r="BC159" s="79"/>
      <c r="BD159" s="79"/>
      <c r="BE159" s="79"/>
      <c r="BF159" s="79"/>
      <c r="BG159" s="79"/>
      <c r="BH159" s="79"/>
      <c r="BI159" s="79"/>
      <c r="BJ159" s="79"/>
    </row>
    <row r="160" spans="1:62" x14ac:dyDescent="0.3">
      <c r="C160" s="82"/>
      <c r="G160" s="82"/>
      <c r="O160" s="32"/>
      <c r="P160" s="31"/>
      <c r="Q160" s="33"/>
      <c r="R160" s="33"/>
      <c r="S160" s="31"/>
    </row>
    <row r="161" spans="1:62" x14ac:dyDescent="0.3">
      <c r="B161" s="25" t="s">
        <v>37</v>
      </c>
      <c r="C161" s="80">
        <v>6546</v>
      </c>
      <c r="D161" s="27" t="s">
        <v>38</v>
      </c>
      <c r="F161" s="25" t="s">
        <v>37</v>
      </c>
      <c r="G161" s="80">
        <v>8262</v>
      </c>
      <c r="H161" s="27" t="s">
        <v>38</v>
      </c>
      <c r="O161" s="32"/>
      <c r="P161" s="31"/>
      <c r="Q161" s="33"/>
      <c r="R161" s="33"/>
      <c r="S161" s="31"/>
    </row>
    <row r="162" spans="1:62" ht="15" x14ac:dyDescent="0.35">
      <c r="B162" s="25" t="s">
        <v>138</v>
      </c>
      <c r="C162" s="80">
        <v>241</v>
      </c>
      <c r="D162" s="27" t="s">
        <v>11</v>
      </c>
      <c r="F162" s="25" t="s">
        <v>138</v>
      </c>
      <c r="G162" s="80">
        <v>220.32</v>
      </c>
      <c r="H162" s="27" t="s">
        <v>11</v>
      </c>
      <c r="O162" s="32"/>
      <c r="P162" s="31"/>
      <c r="Q162" s="33"/>
      <c r="R162" s="33"/>
      <c r="S162" s="31"/>
    </row>
    <row r="163" spans="1:62" ht="15" x14ac:dyDescent="0.35">
      <c r="B163" s="25" t="s">
        <v>139</v>
      </c>
      <c r="C163" s="81">
        <f>C161*(C162-$B$147)/$D$147</f>
        <v>5501.8224643755239</v>
      </c>
      <c r="D163" s="27" t="s">
        <v>38</v>
      </c>
      <c r="F163" s="25" t="s">
        <v>139</v>
      </c>
      <c r="G163" s="81">
        <f>G161*(G162-$B$147)/$D$147</f>
        <v>6228.0105616093879</v>
      </c>
      <c r="H163" s="27" t="s">
        <v>38</v>
      </c>
      <c r="O163" s="32"/>
      <c r="P163" s="31"/>
      <c r="Q163" s="33"/>
      <c r="R163" s="33"/>
      <c r="S163" s="31"/>
    </row>
    <row r="164" spans="1:62" ht="15" x14ac:dyDescent="0.35">
      <c r="B164" s="25" t="s">
        <v>140</v>
      </c>
      <c r="C164" s="81">
        <f>C161*($C$149-C162)/$D$147</f>
        <v>1044.1775356244761</v>
      </c>
      <c r="D164" s="27" t="s">
        <v>38</v>
      </c>
      <c r="F164" s="25" t="s">
        <v>140</v>
      </c>
      <c r="G164" s="81">
        <f>G161*($C$149-G162)/$D$147</f>
        <v>2033.9894383906121</v>
      </c>
      <c r="H164" s="27" t="s">
        <v>38</v>
      </c>
      <c r="O164" s="32"/>
      <c r="P164" s="31"/>
      <c r="Q164" s="33"/>
      <c r="R164" s="33"/>
      <c r="S164" s="31"/>
    </row>
    <row r="165" spans="1:62" ht="15" x14ac:dyDescent="0.35">
      <c r="B165" s="25" t="s">
        <v>141</v>
      </c>
      <c r="C165" s="80">
        <v>13169</v>
      </c>
      <c r="D165" s="71" t="s">
        <v>75</v>
      </c>
      <c r="F165" s="25" t="s">
        <v>141</v>
      </c>
      <c r="G165" s="80">
        <v>13933</v>
      </c>
      <c r="H165" s="71" t="s">
        <v>75</v>
      </c>
      <c r="O165" s="32"/>
      <c r="P165" s="31"/>
      <c r="Q165" s="33"/>
      <c r="R165" s="33"/>
      <c r="S165" s="31"/>
    </row>
    <row r="166" spans="1:62" x14ac:dyDescent="0.3">
      <c r="A166" s="37"/>
      <c r="O166" s="32"/>
      <c r="P166" s="31"/>
      <c r="Q166" s="33"/>
      <c r="R166" s="33"/>
      <c r="S166" s="31"/>
      <c r="V166" s="41"/>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c r="AV166" s="79"/>
      <c r="AW166" s="79"/>
      <c r="AX166" s="79"/>
      <c r="AY166" s="79"/>
      <c r="AZ166" s="79"/>
      <c r="BA166" s="79"/>
      <c r="BB166" s="79"/>
      <c r="BC166" s="79"/>
      <c r="BD166" s="79"/>
      <c r="BE166" s="79"/>
      <c r="BF166" s="79"/>
      <c r="BG166" s="79"/>
      <c r="BH166" s="79"/>
      <c r="BI166" s="79"/>
      <c r="BJ166" s="79"/>
    </row>
    <row r="167" spans="1:62" x14ac:dyDescent="0.3">
      <c r="O167" s="32"/>
      <c r="P167" s="31"/>
      <c r="Q167" s="33"/>
      <c r="R167" s="33"/>
      <c r="S167" s="31"/>
    </row>
    <row r="168" spans="1:62" x14ac:dyDescent="0.3">
      <c r="O168" s="32"/>
      <c r="P168" s="31"/>
      <c r="Q168" s="33"/>
      <c r="R168" s="33"/>
      <c r="S168" s="31"/>
    </row>
    <row r="169" spans="1:62" x14ac:dyDescent="0.3">
      <c r="O169" s="32"/>
      <c r="P169" s="31"/>
      <c r="Q169" s="33"/>
      <c r="R169" s="33"/>
      <c r="S169" s="31"/>
    </row>
    <row r="170" spans="1:62" x14ac:dyDescent="0.3">
      <c r="O170" s="32"/>
      <c r="P170" s="31"/>
      <c r="Q170" s="33"/>
      <c r="R170" s="33"/>
      <c r="S170" s="31"/>
    </row>
    <row r="171" spans="1:62" x14ac:dyDescent="0.3">
      <c r="O171" s="32"/>
      <c r="P171" s="31"/>
      <c r="Q171" s="33"/>
      <c r="R171" s="33"/>
      <c r="S171" s="31"/>
    </row>
    <row r="172" spans="1:62" x14ac:dyDescent="0.3">
      <c r="O172" s="32"/>
      <c r="P172" s="31"/>
      <c r="Q172" s="33"/>
      <c r="R172" s="33"/>
      <c r="S172" s="31"/>
    </row>
    <row r="173" spans="1:62" x14ac:dyDescent="0.3">
      <c r="A173" s="37"/>
      <c r="O173" s="32"/>
      <c r="P173" s="31"/>
      <c r="Q173" s="33"/>
      <c r="R173" s="33"/>
      <c r="S173" s="31"/>
      <c r="V173" s="41"/>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c r="BB173" s="79"/>
      <c r="BC173" s="79"/>
      <c r="BD173" s="79"/>
      <c r="BE173" s="79"/>
      <c r="BF173" s="79"/>
      <c r="BG173" s="79"/>
      <c r="BH173" s="79"/>
      <c r="BI173" s="79"/>
      <c r="BJ173" s="79"/>
    </row>
    <row r="174" spans="1:62" x14ac:dyDescent="0.3">
      <c r="O174" s="32"/>
      <c r="P174" s="31"/>
      <c r="Q174" s="33"/>
      <c r="R174" s="33"/>
      <c r="S174" s="31"/>
    </row>
    <row r="175" spans="1:62" x14ac:dyDescent="0.3">
      <c r="O175" s="32"/>
      <c r="P175" s="31"/>
      <c r="Q175" s="33"/>
      <c r="R175" s="33"/>
      <c r="S175" s="31"/>
    </row>
    <row r="176" spans="1:62" x14ac:dyDescent="0.3">
      <c r="O176" s="32"/>
      <c r="P176" s="31"/>
      <c r="Q176" s="33"/>
      <c r="R176" s="33"/>
      <c r="S176" s="31"/>
    </row>
    <row r="177" spans="1:62" x14ac:dyDescent="0.3">
      <c r="A177" s="190"/>
      <c r="B177" s="193"/>
      <c r="C177" s="195"/>
      <c r="D177" s="190"/>
      <c r="E177" s="190"/>
      <c r="F177" s="190"/>
      <c r="G177" s="195"/>
      <c r="H177" s="190"/>
      <c r="I177" s="190"/>
      <c r="J177" s="190"/>
      <c r="K177" s="190"/>
      <c r="O177" s="32"/>
      <c r="P177" s="31"/>
      <c r="Q177" s="33"/>
      <c r="R177" s="33"/>
      <c r="S177" s="31"/>
    </row>
    <row r="178" spans="1:62" x14ac:dyDescent="0.3">
      <c r="A178" s="190"/>
      <c r="B178" s="196"/>
      <c r="C178" s="195"/>
      <c r="D178" s="197"/>
      <c r="E178" s="197"/>
      <c r="F178" s="198" t="s">
        <v>159</v>
      </c>
      <c r="G178" s="195"/>
      <c r="H178" s="197"/>
      <c r="I178" s="197"/>
      <c r="J178" s="197"/>
      <c r="K178" s="190"/>
      <c r="O178" s="32"/>
      <c r="P178" s="31"/>
      <c r="Q178" s="33"/>
      <c r="R178" s="33"/>
      <c r="S178" s="31"/>
    </row>
    <row r="179" spans="1:62" x14ac:dyDescent="0.3">
      <c r="A179" s="190"/>
      <c r="B179" s="197"/>
      <c r="C179" s="197"/>
      <c r="D179" s="197"/>
      <c r="E179" s="197"/>
      <c r="F179" s="199" t="s">
        <v>160</v>
      </c>
      <c r="G179" s="197"/>
      <c r="H179" s="197"/>
      <c r="I179" s="197"/>
      <c r="J179" s="197"/>
      <c r="K179" s="190"/>
      <c r="O179" s="32"/>
      <c r="P179" s="31"/>
      <c r="Q179" s="33"/>
      <c r="R179" s="33"/>
      <c r="S179" s="31"/>
    </row>
    <row r="180" spans="1:62" x14ac:dyDescent="0.3">
      <c r="A180" s="14"/>
      <c r="B180" s="5"/>
      <c r="C180" s="5"/>
      <c r="D180" s="5"/>
      <c r="E180" s="7" t="s">
        <v>1</v>
      </c>
      <c r="F180" s="8" t="str">
        <f>$C$1</f>
        <v>R. Abbott</v>
      </c>
      <c r="G180" s="5"/>
      <c r="H180" s="15"/>
      <c r="I180" s="7" t="s">
        <v>8</v>
      </c>
      <c r="J180" s="16" t="str">
        <f>$G$2</f>
        <v>AA-SM-503</v>
      </c>
      <c r="K180" s="17"/>
      <c r="L180" s="18"/>
      <c r="M180" s="9"/>
      <c r="N180" s="9"/>
      <c r="O180" s="9"/>
      <c r="P180" s="9"/>
      <c r="Q180" s="33"/>
      <c r="R180" s="33"/>
      <c r="S180" s="31"/>
    </row>
    <row r="181" spans="1:62" x14ac:dyDescent="0.3">
      <c r="A181" s="5"/>
      <c r="B181" s="5"/>
      <c r="C181" s="5"/>
      <c r="D181" s="5"/>
      <c r="E181" s="7" t="s">
        <v>2</v>
      </c>
      <c r="F181" s="15" t="str">
        <f>$C$2</f>
        <v xml:space="preserve"> </v>
      </c>
      <c r="G181" s="5"/>
      <c r="H181" s="15"/>
      <c r="I181" s="7" t="s">
        <v>9</v>
      </c>
      <c r="J181" s="17" t="str">
        <f>$G$3</f>
        <v>IR</v>
      </c>
      <c r="K181" s="17"/>
      <c r="L181" s="18"/>
      <c r="M181" s="9">
        <v>1</v>
      </c>
      <c r="N181" s="9"/>
      <c r="O181" s="9"/>
      <c r="P181" s="9"/>
      <c r="Q181" s="33"/>
      <c r="R181" s="33"/>
      <c r="S181" s="31"/>
    </row>
    <row r="182" spans="1:62" x14ac:dyDescent="0.3">
      <c r="A182" s="5"/>
      <c r="B182" s="5"/>
      <c r="C182" s="5"/>
      <c r="D182" s="5"/>
      <c r="E182" s="7" t="s">
        <v>3</v>
      </c>
      <c r="F182" s="15" t="str">
        <f>$C$3</f>
        <v>20/10/2013</v>
      </c>
      <c r="G182" s="5"/>
      <c r="H182" s="15"/>
      <c r="I182" s="7" t="s">
        <v>6</v>
      </c>
      <c r="J182" s="8" t="str">
        <f>L182&amp;" of "&amp;$G$1</f>
        <v>4 of 15</v>
      </c>
      <c r="K182" s="15"/>
      <c r="L182" s="18">
        <f>SUM($M$1:M181)</f>
        <v>4</v>
      </c>
      <c r="M182" s="9"/>
      <c r="N182" s="9"/>
      <c r="O182" s="9"/>
      <c r="P182" s="9"/>
      <c r="Q182" s="33"/>
      <c r="R182" s="33"/>
      <c r="S182" s="31"/>
    </row>
    <row r="183" spans="1:62" x14ac:dyDescent="0.3">
      <c r="E183" s="7" t="s">
        <v>131</v>
      </c>
      <c r="F183" s="15" t="str">
        <f>$C$5</f>
        <v>STANDARD SPREADSHEET METHOD</v>
      </c>
      <c r="G183" s="5"/>
      <c r="H183" s="5"/>
      <c r="I183" s="19"/>
      <c r="J183" s="8"/>
      <c r="K183" s="5"/>
      <c r="L183" s="5"/>
      <c r="M183" s="9"/>
      <c r="N183" s="9"/>
      <c r="O183" s="9"/>
      <c r="P183" s="9"/>
      <c r="Q183" s="33"/>
      <c r="R183" s="33"/>
      <c r="S183" s="31"/>
    </row>
    <row r="184" spans="1:62" ht="13.5" customHeight="1" x14ac:dyDescent="0.3">
      <c r="A184" s="190"/>
      <c r="B184" s="21" t="str">
        <f>$G$4</f>
        <v>SIMPLE LANDING GEAR LOADS</v>
      </c>
      <c r="C184" s="190"/>
      <c r="D184" s="190"/>
      <c r="E184" s="190"/>
      <c r="F184" s="190"/>
      <c r="G184" s="190"/>
      <c r="H184" s="190"/>
      <c r="I184" s="190"/>
      <c r="J184" s="190"/>
      <c r="K184" s="190"/>
      <c r="L184" s="191"/>
      <c r="M184" s="192"/>
      <c r="N184" s="192"/>
      <c r="O184" s="192"/>
      <c r="P184" s="192"/>
      <c r="Q184" s="33"/>
      <c r="R184" s="33"/>
      <c r="S184" s="31"/>
      <c r="V184" s="41"/>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c r="BI184" s="83"/>
      <c r="BJ184" s="83"/>
    </row>
    <row r="185" spans="1:62" x14ac:dyDescent="0.3">
      <c r="A185" s="37"/>
      <c r="B185" s="26" t="s">
        <v>39</v>
      </c>
      <c r="O185" s="32"/>
      <c r="P185" s="31"/>
      <c r="Q185" s="33"/>
      <c r="R185" s="33"/>
      <c r="S185" s="31"/>
      <c r="V185" s="41"/>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c r="AY185" s="79"/>
      <c r="AZ185" s="79"/>
      <c r="BA185" s="79"/>
      <c r="BB185" s="79"/>
      <c r="BC185" s="79"/>
      <c r="BD185" s="79"/>
      <c r="BE185" s="79"/>
      <c r="BF185" s="79"/>
      <c r="BG185" s="79"/>
      <c r="BH185" s="79"/>
      <c r="BI185" s="79"/>
      <c r="BJ185" s="79"/>
    </row>
    <row r="186" spans="1:62" x14ac:dyDescent="0.3">
      <c r="B186" s="26"/>
      <c r="O186" s="32"/>
      <c r="P186" s="31"/>
      <c r="Q186" s="33"/>
      <c r="R186" s="33"/>
      <c r="S186" s="31"/>
      <c r="V186" s="41"/>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c r="AY186" s="79"/>
      <c r="AZ186" s="79"/>
      <c r="BA186" s="79"/>
      <c r="BB186" s="79"/>
      <c r="BC186" s="79"/>
      <c r="BD186" s="79"/>
      <c r="BE186" s="79"/>
      <c r="BF186" s="79"/>
      <c r="BG186" s="79"/>
      <c r="BH186" s="79"/>
      <c r="BI186" s="79"/>
      <c r="BJ186" s="79"/>
    </row>
    <row r="187" spans="1:62" x14ac:dyDescent="0.3">
      <c r="A187" s="37"/>
      <c r="B187" s="26" t="s">
        <v>114</v>
      </c>
      <c r="O187" s="32"/>
      <c r="P187" s="31"/>
      <c r="Q187" s="33"/>
      <c r="R187" s="33"/>
      <c r="S187" s="31"/>
      <c r="V187" s="41"/>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c r="AY187" s="79"/>
      <c r="AZ187" s="79"/>
      <c r="BA187" s="79"/>
      <c r="BB187" s="79"/>
      <c r="BC187" s="79"/>
      <c r="BD187" s="79"/>
      <c r="BE187" s="79"/>
      <c r="BF187" s="79"/>
      <c r="BG187" s="79"/>
      <c r="BH187" s="79"/>
      <c r="BI187" s="79"/>
      <c r="BJ187" s="79"/>
    </row>
    <row r="188" spans="1:62" x14ac:dyDescent="0.3">
      <c r="F188" s="54"/>
      <c r="G188" s="54"/>
      <c r="O188" s="32"/>
      <c r="P188" s="31"/>
      <c r="Q188" s="33"/>
      <c r="R188" s="33"/>
      <c r="S188" s="31"/>
      <c r="V188" s="41"/>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c r="AY188" s="79"/>
      <c r="AZ188" s="79"/>
      <c r="BA188" s="79"/>
      <c r="BB188" s="79"/>
      <c r="BC188" s="79"/>
      <c r="BD188" s="79"/>
      <c r="BE188" s="79"/>
      <c r="BF188" s="79"/>
      <c r="BG188" s="79"/>
      <c r="BH188" s="79"/>
      <c r="BI188" s="79"/>
      <c r="BJ188" s="79"/>
    </row>
    <row r="189" spans="1:62" x14ac:dyDescent="0.3">
      <c r="O189" s="32"/>
      <c r="P189" s="31"/>
      <c r="Q189" s="33"/>
      <c r="R189" s="33"/>
      <c r="S189" s="31"/>
      <c r="V189" s="41"/>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c r="AY189" s="79"/>
      <c r="AZ189" s="79"/>
      <c r="BA189" s="79"/>
      <c r="BB189" s="79"/>
      <c r="BC189" s="79"/>
      <c r="BD189" s="79"/>
      <c r="BE189" s="79"/>
      <c r="BF189" s="79"/>
      <c r="BG189" s="79"/>
      <c r="BH189" s="79"/>
      <c r="BI189" s="79"/>
      <c r="BJ189" s="79"/>
    </row>
    <row r="190" spans="1:62" x14ac:dyDescent="0.3">
      <c r="B190" s="25" t="s">
        <v>40</v>
      </c>
      <c r="C190" s="65">
        <f>C154</f>
        <v>6989</v>
      </c>
      <c r="D190" s="65" t="s">
        <v>38</v>
      </c>
      <c r="E190" s="66"/>
      <c r="O190" s="32"/>
      <c r="P190" s="31"/>
      <c r="Q190" s="33"/>
      <c r="R190" s="33"/>
      <c r="S190" s="31"/>
      <c r="V190" s="41"/>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c r="AY190" s="79"/>
      <c r="AZ190" s="79"/>
      <c r="BA190" s="79"/>
      <c r="BB190" s="79"/>
      <c r="BC190" s="79"/>
      <c r="BD190" s="79"/>
      <c r="BE190" s="79"/>
      <c r="BF190" s="79"/>
      <c r="BG190" s="79"/>
      <c r="BH190" s="79"/>
      <c r="BI190" s="79"/>
      <c r="BJ190" s="79"/>
    </row>
    <row r="191" spans="1:62" x14ac:dyDescent="0.3">
      <c r="E191" s="66"/>
      <c r="F191" s="53">
        <f>DEGREES(ATAN(E309))</f>
        <v>18.262889942194128</v>
      </c>
      <c r="O191" s="32"/>
      <c r="P191" s="31"/>
      <c r="Q191" s="33"/>
      <c r="R191" s="33"/>
      <c r="S191" s="31"/>
      <c r="V191" s="41"/>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c r="BC191" s="79"/>
      <c r="BD191" s="79"/>
      <c r="BE191" s="79"/>
      <c r="BF191" s="79"/>
      <c r="BG191" s="79"/>
      <c r="BH191" s="79"/>
      <c r="BI191" s="79"/>
      <c r="BJ191" s="79"/>
    </row>
    <row r="192" spans="1:62" x14ac:dyDescent="0.3">
      <c r="B192" s="84"/>
      <c r="C192" s="85">
        <f>C155</f>
        <v>217.65</v>
      </c>
      <c r="D192" s="66" t="s">
        <v>11</v>
      </c>
      <c r="E192" s="66"/>
      <c r="F192" s="27" t="s">
        <v>41</v>
      </c>
      <c r="O192" s="32"/>
      <c r="P192" s="31"/>
      <c r="Q192" s="33"/>
      <c r="R192" s="33"/>
      <c r="S192" s="31"/>
      <c r="V192" s="41"/>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79"/>
      <c r="BA192" s="79"/>
      <c r="BB192" s="79"/>
      <c r="BC192" s="79"/>
      <c r="BD192" s="79"/>
      <c r="BE192" s="79"/>
      <c r="BF192" s="79"/>
      <c r="BG192" s="79"/>
      <c r="BH192" s="79"/>
      <c r="BI192" s="79"/>
      <c r="BJ192" s="79"/>
    </row>
    <row r="193" spans="2:62" x14ac:dyDescent="0.3">
      <c r="B193" s="84"/>
      <c r="C193" s="85"/>
      <c r="D193" s="66"/>
      <c r="F193" s="54"/>
      <c r="O193" s="32"/>
      <c r="P193" s="31"/>
      <c r="Q193" s="33"/>
      <c r="R193" s="33"/>
      <c r="S193" s="31"/>
      <c r="V193" s="41"/>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c r="AV193" s="79"/>
      <c r="AW193" s="79"/>
      <c r="AX193" s="79"/>
      <c r="AY193" s="79"/>
      <c r="AZ193" s="79"/>
      <c r="BA193" s="79"/>
      <c r="BB193" s="79"/>
      <c r="BC193" s="79"/>
      <c r="BD193" s="79"/>
      <c r="BE193" s="79"/>
      <c r="BF193" s="79"/>
      <c r="BG193" s="79"/>
      <c r="BH193" s="79"/>
      <c r="BI193" s="79"/>
      <c r="BJ193" s="79"/>
    </row>
    <row r="194" spans="2:62" x14ac:dyDescent="0.3">
      <c r="B194" s="84"/>
      <c r="C194" s="86"/>
      <c r="D194" s="66"/>
      <c r="E194" s="66"/>
      <c r="F194" s="54"/>
      <c r="O194" s="32"/>
      <c r="P194" s="31"/>
      <c r="Q194" s="33"/>
      <c r="R194" s="33"/>
      <c r="S194" s="31"/>
      <c r="V194" s="41"/>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c r="AV194" s="79"/>
      <c r="AW194" s="79"/>
      <c r="AX194" s="79"/>
      <c r="AY194" s="79"/>
      <c r="AZ194" s="79"/>
      <c r="BA194" s="79"/>
      <c r="BB194" s="79"/>
      <c r="BC194" s="79"/>
      <c r="BD194" s="79"/>
      <c r="BE194" s="79"/>
      <c r="BF194" s="79"/>
      <c r="BG194" s="79"/>
      <c r="BH194" s="79"/>
      <c r="BI194" s="79"/>
      <c r="BJ194" s="79"/>
    </row>
    <row r="195" spans="2:62" x14ac:dyDescent="0.3">
      <c r="B195" s="84"/>
      <c r="C195" s="87"/>
      <c r="D195" s="66"/>
      <c r="E195" s="66"/>
      <c r="F195" s="54"/>
      <c r="O195" s="32"/>
      <c r="P195" s="31"/>
      <c r="Q195" s="33"/>
      <c r="R195" s="33"/>
      <c r="S195" s="31"/>
      <c r="V195" s="41"/>
      <c r="W195" s="88"/>
      <c r="X195" s="88"/>
      <c r="Y195" s="88"/>
      <c r="Z195" s="88"/>
      <c r="AA195" s="88"/>
      <c r="AB195" s="88"/>
      <c r="AC195" s="88"/>
      <c r="AD195" s="88"/>
      <c r="AE195" s="88"/>
      <c r="AF195" s="88"/>
      <c r="AG195" s="88"/>
      <c r="AH195" s="88"/>
      <c r="AI195" s="88"/>
      <c r="AJ195" s="88"/>
      <c r="AK195" s="88"/>
      <c r="AL195" s="88"/>
      <c r="AM195" s="88"/>
      <c r="AN195" s="88"/>
      <c r="AO195" s="88"/>
      <c r="AP195" s="88"/>
      <c r="AQ195" s="88"/>
      <c r="AR195" s="88"/>
      <c r="AS195" s="88"/>
      <c r="AT195" s="88"/>
      <c r="AU195" s="88"/>
      <c r="AV195" s="88"/>
      <c r="AW195" s="88"/>
      <c r="AX195" s="88"/>
      <c r="AY195" s="88"/>
      <c r="AZ195" s="88"/>
      <c r="BA195" s="88"/>
      <c r="BB195" s="88"/>
      <c r="BC195" s="88"/>
      <c r="BD195" s="88"/>
      <c r="BE195" s="88"/>
      <c r="BF195" s="88"/>
      <c r="BG195" s="88"/>
      <c r="BH195" s="88"/>
      <c r="BI195" s="88"/>
      <c r="BJ195" s="88"/>
    </row>
    <row r="196" spans="2:62" x14ac:dyDescent="0.3">
      <c r="B196" s="89"/>
      <c r="C196" s="87"/>
      <c r="D196" s="66"/>
      <c r="E196" s="66"/>
      <c r="F196" s="54"/>
      <c r="O196" s="32"/>
      <c r="P196" s="31"/>
      <c r="Q196" s="33"/>
      <c r="R196" s="33"/>
      <c r="S196" s="31"/>
      <c r="V196" s="41"/>
      <c r="W196" s="88"/>
      <c r="X196" s="88"/>
      <c r="Y196" s="88"/>
      <c r="Z196" s="88"/>
      <c r="AA196" s="88"/>
      <c r="AB196" s="88"/>
      <c r="AC196" s="88"/>
      <c r="AD196" s="88"/>
      <c r="AE196" s="88"/>
      <c r="AF196" s="88"/>
      <c r="AG196" s="88"/>
      <c r="AH196" s="88"/>
      <c r="AI196" s="88"/>
      <c r="AJ196" s="88"/>
      <c r="AK196" s="88"/>
      <c r="AL196" s="88"/>
      <c r="AM196" s="88"/>
      <c r="AN196" s="88"/>
      <c r="AO196" s="88"/>
      <c r="AP196" s="88"/>
      <c r="AQ196" s="88"/>
      <c r="AR196" s="88"/>
      <c r="AS196" s="88"/>
      <c r="AT196" s="88"/>
      <c r="AU196" s="88"/>
      <c r="AV196" s="88"/>
      <c r="AW196" s="88"/>
      <c r="AX196" s="88"/>
      <c r="AY196" s="88"/>
      <c r="AZ196" s="88"/>
      <c r="BA196" s="88"/>
      <c r="BB196" s="88"/>
      <c r="BC196" s="88"/>
      <c r="BD196" s="88"/>
      <c r="BE196" s="88"/>
      <c r="BF196" s="88"/>
      <c r="BG196" s="88"/>
      <c r="BH196" s="88"/>
      <c r="BI196" s="88"/>
      <c r="BJ196" s="88"/>
    </row>
    <row r="197" spans="2:62" x14ac:dyDescent="0.3">
      <c r="B197" s="89"/>
      <c r="C197" s="85"/>
      <c r="D197" s="65"/>
      <c r="E197" s="66"/>
      <c r="O197" s="32"/>
      <c r="P197" s="31"/>
      <c r="Q197" s="33"/>
      <c r="R197" s="33"/>
      <c r="S197" s="31"/>
      <c r="V197" s="41"/>
      <c r="W197" s="88"/>
      <c r="X197" s="88"/>
      <c r="Y197" s="88"/>
      <c r="Z197" s="88"/>
      <c r="AA197" s="88"/>
      <c r="AB197" s="88"/>
      <c r="AC197" s="88"/>
      <c r="AD197" s="88"/>
      <c r="AE197" s="88"/>
      <c r="AF197" s="88"/>
      <c r="AG197" s="88"/>
      <c r="AH197" s="88"/>
      <c r="AI197" s="88"/>
      <c r="AJ197" s="88"/>
      <c r="AK197" s="88"/>
      <c r="AL197" s="88"/>
      <c r="AM197" s="88"/>
      <c r="AN197" s="88"/>
      <c r="AO197" s="88"/>
      <c r="AP197" s="88"/>
      <c r="AQ197" s="88"/>
      <c r="AR197" s="88"/>
      <c r="AS197" s="88"/>
      <c r="AT197" s="88"/>
      <c r="AU197" s="88"/>
      <c r="AV197" s="88"/>
      <c r="AW197" s="88"/>
      <c r="AX197" s="88"/>
      <c r="AY197" s="88"/>
      <c r="AZ197" s="88"/>
      <c r="BA197" s="88"/>
      <c r="BB197" s="88"/>
      <c r="BC197" s="88"/>
      <c r="BD197" s="88"/>
      <c r="BE197" s="88"/>
      <c r="BF197" s="88"/>
      <c r="BG197" s="88"/>
      <c r="BH197" s="88"/>
      <c r="BI197" s="88"/>
      <c r="BJ197" s="88"/>
    </row>
    <row r="198" spans="2:62" x14ac:dyDescent="0.3">
      <c r="B198" s="84"/>
      <c r="C198" s="87"/>
      <c r="D198" s="65"/>
      <c r="E198" s="66"/>
      <c r="F198" s="86">
        <v>52.4182611909361</v>
      </c>
      <c r="G198" s="27" t="s">
        <v>11</v>
      </c>
      <c r="L198" s="27"/>
      <c r="N198" s="34"/>
      <c r="O198" s="32"/>
      <c r="P198" s="31"/>
      <c r="Q198" s="33"/>
      <c r="R198" s="33"/>
      <c r="S198" s="31"/>
      <c r="V198" s="41"/>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c r="BA198" s="88"/>
      <c r="BB198" s="88"/>
      <c r="BC198" s="88"/>
      <c r="BD198" s="88"/>
      <c r="BE198" s="88"/>
      <c r="BF198" s="88"/>
      <c r="BG198" s="88"/>
      <c r="BH198" s="88"/>
      <c r="BI198" s="88"/>
      <c r="BJ198" s="88"/>
    </row>
    <row r="199" spans="2:62" x14ac:dyDescent="0.3">
      <c r="B199" s="86"/>
      <c r="C199" s="86"/>
      <c r="H199" s="25" t="s">
        <v>42</v>
      </c>
      <c r="I199" s="50">
        <f>I201-I200</f>
        <v>176.51271307780928</v>
      </c>
      <c r="J199" s="27" t="s">
        <v>11</v>
      </c>
      <c r="L199" s="27"/>
      <c r="N199" s="34"/>
      <c r="O199" s="32"/>
      <c r="P199" s="31"/>
      <c r="Q199" s="33"/>
      <c r="R199" s="33"/>
      <c r="S199" s="31"/>
      <c r="V199" s="41"/>
      <c r="W199" s="88"/>
      <c r="X199" s="88"/>
      <c r="Y199" s="88"/>
      <c r="Z199" s="88"/>
      <c r="AA199" s="88"/>
      <c r="AB199" s="88"/>
      <c r="AC199" s="88"/>
      <c r="AD199" s="88"/>
      <c r="AE199" s="88"/>
      <c r="AF199" s="88"/>
      <c r="AG199" s="88"/>
      <c r="AH199" s="88"/>
      <c r="AI199" s="88"/>
      <c r="AJ199" s="88"/>
      <c r="AK199" s="88"/>
      <c r="AL199" s="88"/>
      <c r="AM199" s="88"/>
      <c r="AN199" s="88"/>
      <c r="AO199" s="88"/>
      <c r="AP199" s="88"/>
      <c r="AQ199" s="88"/>
      <c r="AR199" s="88"/>
      <c r="AS199" s="88"/>
      <c r="AT199" s="88"/>
      <c r="AU199" s="88"/>
      <c r="AV199" s="88"/>
      <c r="AW199" s="88"/>
      <c r="AX199" s="88"/>
      <c r="AY199" s="88"/>
      <c r="AZ199" s="88"/>
      <c r="BA199" s="88"/>
      <c r="BB199" s="88"/>
      <c r="BC199" s="88"/>
      <c r="BD199" s="88"/>
      <c r="BE199" s="88"/>
      <c r="BF199" s="88"/>
      <c r="BG199" s="88"/>
      <c r="BH199" s="88"/>
      <c r="BI199" s="88"/>
      <c r="BJ199" s="88"/>
    </row>
    <row r="200" spans="2:62" x14ac:dyDescent="0.3">
      <c r="B200" s="90"/>
      <c r="C200" s="85"/>
      <c r="D200" s="66"/>
      <c r="H200" s="25" t="s">
        <v>43</v>
      </c>
      <c r="I200" s="50">
        <f>SIN((ATAN((C206-C192)/F198))+RADIANS(F191))*(F198^2+(C206-C192)^2)^0.5</f>
        <v>74.743396587209574</v>
      </c>
      <c r="J200" s="50" t="s">
        <v>11</v>
      </c>
      <c r="L200" s="27"/>
      <c r="N200" s="34"/>
      <c r="O200" s="32"/>
      <c r="P200" s="31"/>
      <c r="Q200" s="33"/>
      <c r="R200" s="33"/>
      <c r="S200" s="31"/>
      <c r="V200" s="41"/>
      <c r="W200" s="88"/>
      <c r="X200" s="88"/>
      <c r="Y200" s="88"/>
      <c r="Z200" s="88"/>
      <c r="AA200" s="88"/>
      <c r="AB200" s="88"/>
      <c r="AC200" s="88"/>
      <c r="AD200" s="88"/>
      <c r="AE200" s="88"/>
      <c r="AF200" s="88"/>
      <c r="AG200" s="88"/>
      <c r="AH200" s="88"/>
      <c r="AI200" s="88"/>
      <c r="AJ200" s="88"/>
      <c r="AK200" s="88"/>
      <c r="AL200" s="88"/>
      <c r="AM200" s="88"/>
      <c r="AN200" s="88"/>
      <c r="AO200" s="88"/>
      <c r="AP200" s="88"/>
      <c r="AQ200" s="88"/>
      <c r="AR200" s="88"/>
      <c r="AS200" s="88"/>
      <c r="AT200" s="88"/>
      <c r="AU200" s="88"/>
      <c r="AV200" s="88"/>
      <c r="AW200" s="88"/>
      <c r="AX200" s="88"/>
      <c r="AY200" s="88"/>
      <c r="AZ200" s="88"/>
      <c r="BA200" s="88"/>
      <c r="BB200" s="88"/>
      <c r="BC200" s="88"/>
      <c r="BD200" s="88"/>
      <c r="BE200" s="88"/>
      <c r="BF200" s="88"/>
      <c r="BG200" s="88"/>
      <c r="BH200" s="88"/>
      <c r="BI200" s="88"/>
      <c r="BJ200" s="88"/>
    </row>
    <row r="201" spans="2:62" x14ac:dyDescent="0.3">
      <c r="B201" s="86"/>
      <c r="C201" s="87"/>
      <c r="D201" s="66"/>
      <c r="F201" s="54"/>
      <c r="H201" s="25" t="s">
        <v>44</v>
      </c>
      <c r="I201" s="50">
        <f>(C206-B204)/COS(RADIANS(F191))</f>
        <v>251.25610966501887</v>
      </c>
      <c r="J201" s="27" t="s">
        <v>11</v>
      </c>
      <c r="L201" s="27"/>
      <c r="N201" s="34"/>
      <c r="O201" s="32"/>
      <c r="P201" s="31"/>
      <c r="Q201" s="33"/>
      <c r="R201" s="33"/>
      <c r="S201" s="31"/>
      <c r="V201" s="41"/>
      <c r="W201" s="88"/>
      <c r="X201" s="88"/>
      <c r="Y201" s="88"/>
      <c r="Z201" s="88"/>
      <c r="AA201" s="88"/>
      <c r="AB201" s="88"/>
      <c r="AC201" s="88"/>
      <c r="AD201" s="88"/>
      <c r="AE201" s="88"/>
      <c r="AF201" s="88"/>
      <c r="AG201" s="88"/>
      <c r="AH201" s="88"/>
      <c r="AI201" s="88"/>
      <c r="AJ201" s="88"/>
      <c r="AK201" s="88"/>
      <c r="AL201" s="88"/>
      <c r="AM201" s="88"/>
      <c r="AN201" s="88"/>
      <c r="AO201" s="88"/>
      <c r="AP201" s="88"/>
      <c r="AQ201" s="88"/>
      <c r="AR201" s="88"/>
      <c r="AS201" s="88"/>
      <c r="AT201" s="88"/>
      <c r="AU201" s="88"/>
      <c r="AV201" s="88"/>
      <c r="AW201" s="88"/>
      <c r="AX201" s="88"/>
      <c r="AY201" s="88"/>
      <c r="AZ201" s="88"/>
      <c r="BA201" s="88"/>
      <c r="BB201" s="88"/>
      <c r="BC201" s="88"/>
      <c r="BD201" s="88"/>
      <c r="BE201" s="88"/>
      <c r="BF201" s="88"/>
      <c r="BG201" s="88"/>
      <c r="BH201" s="88"/>
      <c r="BI201" s="88"/>
      <c r="BJ201" s="88"/>
    </row>
    <row r="202" spans="2:62" x14ac:dyDescent="0.3">
      <c r="B202" s="86"/>
      <c r="C202" s="87"/>
      <c r="F202" s="54"/>
      <c r="L202" s="27"/>
      <c r="N202" s="34"/>
      <c r="O202" s="32"/>
      <c r="P202" s="31"/>
      <c r="Q202" s="33"/>
      <c r="R202" s="33"/>
      <c r="S202" s="31"/>
      <c r="Z202" s="88"/>
      <c r="AA202" s="88"/>
      <c r="AB202" s="88"/>
      <c r="AC202" s="88"/>
      <c r="AD202" s="88"/>
      <c r="AE202" s="88"/>
      <c r="AF202" s="88"/>
      <c r="AG202" s="88"/>
      <c r="AH202" s="88"/>
      <c r="AI202" s="88"/>
      <c r="AJ202" s="88"/>
      <c r="AK202" s="88"/>
      <c r="AL202" s="88"/>
      <c r="AM202" s="88"/>
      <c r="AN202" s="88"/>
      <c r="AO202" s="88"/>
      <c r="AP202" s="88"/>
      <c r="AQ202" s="88"/>
      <c r="AR202" s="88"/>
      <c r="AS202" s="88"/>
      <c r="AT202" s="88"/>
      <c r="AU202" s="88"/>
      <c r="AV202" s="88"/>
      <c r="AW202" s="88"/>
      <c r="AX202" s="88"/>
      <c r="AY202" s="88"/>
      <c r="AZ202" s="88"/>
      <c r="BA202" s="88"/>
      <c r="BB202" s="88"/>
      <c r="BC202" s="88"/>
      <c r="BD202" s="88"/>
      <c r="BE202" s="88"/>
      <c r="BF202" s="88"/>
      <c r="BG202" s="88"/>
      <c r="BH202" s="88"/>
      <c r="BI202" s="88"/>
      <c r="BJ202" s="88"/>
    </row>
    <row r="203" spans="2:62" x14ac:dyDescent="0.3">
      <c r="B203" s="86"/>
      <c r="C203" s="87"/>
      <c r="D203" s="71"/>
      <c r="F203" s="54"/>
      <c r="G203" s="38" t="s">
        <v>45</v>
      </c>
      <c r="H203" s="41"/>
      <c r="I203" s="41"/>
      <c r="J203" s="41"/>
      <c r="L203" s="27"/>
      <c r="N203" s="34"/>
      <c r="O203" s="32"/>
      <c r="P203" s="31"/>
      <c r="Q203" s="33"/>
      <c r="R203" s="33"/>
      <c r="S203" s="31"/>
      <c r="U203" s="38" t="s">
        <v>46</v>
      </c>
      <c r="V203" s="58"/>
      <c r="W203" s="41"/>
      <c r="Y203" s="42"/>
      <c r="AA203" s="88"/>
      <c r="AB203" s="88"/>
      <c r="AC203" s="88"/>
      <c r="AD203" s="88"/>
      <c r="AE203" s="88"/>
      <c r="AF203" s="88"/>
      <c r="AG203" s="88"/>
      <c r="AH203" s="88"/>
      <c r="AI203" s="88"/>
      <c r="AJ203" s="88"/>
      <c r="AK203" s="88"/>
      <c r="AL203" s="88"/>
      <c r="AM203" s="88"/>
      <c r="AN203" s="88"/>
      <c r="AO203" s="88"/>
      <c r="AP203" s="88"/>
      <c r="AQ203" s="88"/>
      <c r="AR203" s="88"/>
      <c r="AS203" s="88"/>
      <c r="AT203" s="88"/>
      <c r="AU203" s="88"/>
      <c r="AV203" s="88"/>
      <c r="AW203" s="88"/>
      <c r="AX203" s="88"/>
      <c r="AY203" s="88"/>
      <c r="AZ203" s="88"/>
      <c r="BA203" s="88"/>
      <c r="BB203" s="88"/>
      <c r="BC203" s="88"/>
      <c r="BD203" s="88"/>
      <c r="BE203" s="88"/>
      <c r="BF203" s="88"/>
      <c r="BG203" s="88"/>
      <c r="BH203" s="88"/>
      <c r="BI203" s="88"/>
      <c r="BJ203" s="88"/>
    </row>
    <row r="204" spans="2:62" ht="15" x14ac:dyDescent="0.3">
      <c r="B204" s="91">
        <f>B147</f>
        <v>40.46</v>
      </c>
      <c r="C204" s="86"/>
      <c r="F204" s="25"/>
      <c r="G204" s="43" t="s">
        <v>47</v>
      </c>
      <c r="H204" s="39" t="s">
        <v>142</v>
      </c>
      <c r="I204" s="40"/>
      <c r="J204" s="41"/>
      <c r="L204" s="27"/>
      <c r="N204" s="34"/>
      <c r="O204" s="32"/>
      <c r="P204" s="31"/>
      <c r="Q204" s="33"/>
      <c r="R204" s="33"/>
      <c r="S204" s="31"/>
      <c r="V204" s="30">
        <f>H209/2</f>
        <v>5</v>
      </c>
      <c r="W204" s="30" t="s">
        <v>48</v>
      </c>
      <c r="Y204" s="42"/>
      <c r="Z204" s="30" t="s">
        <v>49</v>
      </c>
      <c r="AC204" s="41"/>
      <c r="AD204" s="88"/>
      <c r="AE204" s="88"/>
      <c r="AF204" s="88"/>
      <c r="AG204" s="88"/>
      <c r="AH204" s="88"/>
      <c r="AI204" s="88"/>
      <c r="AJ204" s="88"/>
      <c r="AK204" s="88"/>
      <c r="AL204" s="88"/>
      <c r="AM204" s="88"/>
      <c r="AN204" s="88"/>
      <c r="AO204" s="88"/>
      <c r="AP204" s="88"/>
      <c r="AQ204" s="88"/>
      <c r="AR204" s="88"/>
      <c r="AS204" s="88"/>
      <c r="AT204" s="88"/>
      <c r="AU204" s="88"/>
      <c r="AV204" s="88"/>
      <c r="AW204" s="88"/>
      <c r="AX204" s="88"/>
      <c r="AY204" s="88"/>
      <c r="AZ204" s="88"/>
      <c r="BA204" s="88"/>
      <c r="BB204" s="88"/>
      <c r="BC204" s="88"/>
      <c r="BD204" s="88"/>
      <c r="BE204" s="88"/>
      <c r="BF204" s="88"/>
      <c r="BG204" s="88"/>
      <c r="BH204" s="88"/>
      <c r="BI204" s="88"/>
      <c r="BJ204" s="88"/>
    </row>
    <row r="205" spans="2:62" x14ac:dyDescent="0.3">
      <c r="B205" s="86"/>
      <c r="C205" s="86"/>
      <c r="G205" s="43" t="s">
        <v>50</v>
      </c>
      <c r="H205" s="79">
        <f>C190</f>
        <v>6989</v>
      </c>
      <c r="I205" s="41" t="s">
        <v>51</v>
      </c>
      <c r="J205" s="41"/>
      <c r="L205" s="27"/>
      <c r="N205" s="34"/>
      <c r="O205" s="32"/>
      <c r="P205" s="31"/>
      <c r="Q205" s="33"/>
      <c r="R205" s="33"/>
      <c r="S205" s="31"/>
      <c r="U205" s="47" t="s">
        <v>52</v>
      </c>
      <c r="V205" s="92"/>
      <c r="Z205" s="43"/>
      <c r="AA205" s="93">
        <f>$D$84</f>
        <v>0.85</v>
      </c>
      <c r="AB205" s="41" t="s">
        <v>53</v>
      </c>
      <c r="AD205" s="88"/>
      <c r="AE205" s="88"/>
      <c r="AF205" s="88"/>
      <c r="AG205" s="88"/>
      <c r="AH205" s="88"/>
      <c r="AI205" s="88"/>
      <c r="AJ205" s="88"/>
      <c r="AK205" s="88"/>
      <c r="AL205" s="88"/>
      <c r="AM205" s="88"/>
      <c r="AN205" s="88"/>
      <c r="AO205" s="88"/>
      <c r="AP205" s="88"/>
      <c r="AQ205" s="88"/>
      <c r="AR205" s="88"/>
      <c r="AS205" s="88"/>
      <c r="AT205" s="88"/>
      <c r="AU205" s="88"/>
      <c r="AV205" s="88"/>
      <c r="AW205" s="88"/>
      <c r="AX205" s="88"/>
      <c r="AY205" s="88"/>
      <c r="AZ205" s="88"/>
      <c r="BA205" s="88"/>
      <c r="BB205" s="88"/>
      <c r="BC205" s="88"/>
      <c r="BD205" s="88"/>
      <c r="BE205" s="88"/>
      <c r="BF205" s="88"/>
      <c r="BG205" s="88"/>
      <c r="BH205" s="88"/>
      <c r="BI205" s="88"/>
      <c r="BJ205" s="88"/>
    </row>
    <row r="206" spans="2:62" x14ac:dyDescent="0.3">
      <c r="B206" s="89"/>
      <c r="C206" s="89">
        <f>C149</f>
        <v>279.06</v>
      </c>
      <c r="D206" s="27" t="s">
        <v>11</v>
      </c>
      <c r="E206" s="66"/>
      <c r="F206" s="54"/>
      <c r="G206" s="45" t="s">
        <v>54</v>
      </c>
      <c r="H206" s="94">
        <f>$I$142</f>
        <v>161.69999999999999</v>
      </c>
      <c r="I206" s="30" t="s">
        <v>55</v>
      </c>
      <c r="J206" s="30"/>
      <c r="L206" s="27"/>
      <c r="N206" s="34"/>
      <c r="O206" s="32"/>
      <c r="P206" s="31"/>
      <c r="Q206" s="33"/>
      <c r="R206" s="33"/>
      <c r="S206" s="31"/>
      <c r="U206" s="43"/>
      <c r="V206" s="83">
        <f>$D$81/12/V204</f>
        <v>0.1277777777777778</v>
      </c>
      <c r="W206" s="41" t="s">
        <v>56</v>
      </c>
      <c r="AD206" s="88"/>
      <c r="AE206" s="88"/>
      <c r="AF206" s="88"/>
      <c r="AG206" s="88"/>
      <c r="AH206" s="88"/>
      <c r="AI206" s="88"/>
      <c r="AJ206" s="88"/>
      <c r="AK206" s="88"/>
      <c r="AL206" s="88"/>
      <c r="AM206" s="88"/>
      <c r="AN206" s="88"/>
      <c r="AO206" s="88"/>
      <c r="AP206" s="88"/>
      <c r="AQ206" s="88"/>
      <c r="AR206" s="88"/>
      <c r="AS206" s="88"/>
      <c r="AT206" s="88"/>
      <c r="AU206" s="88"/>
      <c r="AV206" s="88"/>
      <c r="AW206" s="88"/>
      <c r="AX206" s="88"/>
      <c r="AY206" s="88"/>
      <c r="AZ206" s="88"/>
      <c r="BA206" s="88"/>
      <c r="BB206" s="88"/>
      <c r="BC206" s="88"/>
      <c r="BD206" s="88"/>
      <c r="BE206" s="88"/>
      <c r="BF206" s="88"/>
      <c r="BG206" s="88"/>
      <c r="BH206" s="88"/>
      <c r="BI206" s="88"/>
      <c r="BJ206" s="88"/>
    </row>
    <row r="207" spans="2:62" x14ac:dyDescent="0.3">
      <c r="B207" s="72"/>
      <c r="C207" s="78"/>
      <c r="E207" s="66"/>
      <c r="F207" s="54"/>
      <c r="G207" s="45" t="s">
        <v>47</v>
      </c>
      <c r="H207" s="61">
        <f>4.4*(H205/H206)^0.25</f>
        <v>11.281813903026331</v>
      </c>
      <c r="I207" s="30" t="s">
        <v>57</v>
      </c>
      <c r="J207" s="30"/>
      <c r="L207" s="27"/>
      <c r="N207" s="34"/>
      <c r="O207" s="32"/>
      <c r="P207" s="31"/>
      <c r="Q207" s="33"/>
      <c r="R207" s="33"/>
      <c r="S207" s="31"/>
      <c r="U207" s="30" t="s">
        <v>58</v>
      </c>
      <c r="Z207" s="88"/>
      <c r="AA207" s="88"/>
      <c r="AB207" s="88"/>
      <c r="AC207" s="88"/>
      <c r="AD207" s="88"/>
      <c r="AE207" s="88"/>
      <c r="AF207" s="88"/>
      <c r="AG207" s="88"/>
      <c r="AH207" s="88"/>
      <c r="AI207" s="88"/>
      <c r="AJ207" s="88"/>
      <c r="AK207" s="88"/>
      <c r="AL207" s="88"/>
      <c r="AM207" s="88"/>
      <c r="AN207" s="88"/>
      <c r="AO207" s="88"/>
      <c r="AP207" s="88"/>
      <c r="AQ207" s="88"/>
      <c r="AR207" s="88"/>
      <c r="AS207" s="88"/>
      <c r="AT207" s="88"/>
      <c r="AU207" s="88"/>
      <c r="AV207" s="88"/>
      <c r="AW207" s="88"/>
      <c r="AX207" s="88"/>
      <c r="AY207" s="88"/>
      <c r="AZ207" s="88"/>
      <c r="BA207" s="88"/>
      <c r="BB207" s="88"/>
      <c r="BC207" s="88"/>
      <c r="BD207" s="88"/>
      <c r="BE207" s="88"/>
      <c r="BF207" s="88"/>
      <c r="BG207" s="88"/>
      <c r="BH207" s="88"/>
      <c r="BI207" s="88"/>
      <c r="BJ207" s="88"/>
    </row>
    <row r="208" spans="2:62" x14ac:dyDescent="0.3">
      <c r="B208" s="72"/>
      <c r="C208" s="78"/>
      <c r="E208" s="66"/>
      <c r="F208" s="54"/>
      <c r="G208" s="47" t="s">
        <v>59</v>
      </c>
      <c r="H208" s="46"/>
      <c r="I208" s="30"/>
      <c r="J208" s="30"/>
      <c r="L208" s="27"/>
      <c r="N208" s="34"/>
      <c r="O208" s="32"/>
      <c r="P208" s="31"/>
      <c r="Q208" s="33"/>
      <c r="R208" s="33"/>
      <c r="S208" s="31"/>
      <c r="V208" s="63">
        <f>(2*($D$81/12-H209*V206))/V206^2</f>
        <v>-78.260869565217391</v>
      </c>
      <c r="W208" s="30" t="s">
        <v>60</v>
      </c>
      <c r="Z208" s="88"/>
      <c r="AA208" s="88"/>
      <c r="AB208" s="88"/>
      <c r="AC208" s="88"/>
      <c r="AD208" s="88"/>
      <c r="AE208" s="88"/>
      <c r="AF208" s="88"/>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c r="BE208" s="88"/>
      <c r="BF208" s="88"/>
      <c r="BG208" s="88"/>
      <c r="BH208" s="88"/>
      <c r="BI208" s="88"/>
      <c r="BJ208" s="88"/>
    </row>
    <row r="209" spans="1:62" x14ac:dyDescent="0.3">
      <c r="B209" s="72"/>
      <c r="C209" s="78"/>
      <c r="E209" s="66"/>
      <c r="F209" s="54"/>
      <c r="G209" s="45" t="s">
        <v>47</v>
      </c>
      <c r="H209" s="95">
        <f>IF(H207&gt;10,10,H207)</f>
        <v>10</v>
      </c>
      <c r="I209" s="30" t="s">
        <v>48</v>
      </c>
      <c r="J209" s="30"/>
      <c r="L209" s="27"/>
      <c r="N209" s="34"/>
      <c r="O209" s="32"/>
      <c r="P209" s="31"/>
      <c r="Q209" s="33"/>
      <c r="R209" s="33"/>
      <c r="S209" s="31"/>
      <c r="U209" s="30" t="s">
        <v>61</v>
      </c>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c r="BE209" s="88"/>
      <c r="BF209" s="88"/>
      <c r="BG209" s="88"/>
      <c r="BH209" s="88"/>
      <c r="BI209" s="88"/>
      <c r="BJ209" s="88"/>
    </row>
    <row r="210" spans="1:62" x14ac:dyDescent="0.3">
      <c r="B210" s="72"/>
      <c r="C210" s="78"/>
      <c r="E210" s="66"/>
      <c r="F210" s="54"/>
      <c r="G210" s="45" t="s">
        <v>62</v>
      </c>
      <c r="H210" s="64">
        <f>IF(V210/AA205&lt;2.67,2.67,V210/AA205)</f>
        <v>2.8593668091054942</v>
      </c>
      <c r="L210" s="27"/>
      <c r="N210" s="34"/>
      <c r="O210" s="32"/>
      <c r="P210" s="31"/>
      <c r="Q210" s="33"/>
      <c r="R210" s="33"/>
      <c r="S210" s="31"/>
      <c r="U210" s="45" t="s">
        <v>12</v>
      </c>
      <c r="V210" s="63">
        <f>ABS(V208/32.2)</f>
        <v>2.4304617877396701</v>
      </c>
      <c r="W210" s="30" t="s">
        <v>63</v>
      </c>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c r="BE210" s="88"/>
      <c r="BF210" s="88"/>
      <c r="BG210" s="88"/>
      <c r="BH210" s="88"/>
      <c r="BI210" s="88"/>
      <c r="BJ210" s="88"/>
    </row>
    <row r="211" spans="1:62" x14ac:dyDescent="0.3">
      <c r="B211" s="72"/>
      <c r="C211" s="78"/>
      <c r="E211" s="66"/>
      <c r="F211" s="54"/>
      <c r="G211" s="25" t="s">
        <v>64</v>
      </c>
      <c r="H211" s="96">
        <f>IF(H210-0.667&lt;2,2,H210-0.667)</f>
        <v>2.1923668091054944</v>
      </c>
      <c r="L211" s="27"/>
      <c r="N211" s="34"/>
      <c r="O211" s="32"/>
      <c r="P211" s="31"/>
      <c r="Q211" s="33"/>
      <c r="R211" s="33"/>
      <c r="S211" s="31"/>
      <c r="AB211" s="88"/>
      <c r="AC211" s="88"/>
      <c r="AD211" s="88"/>
      <c r="AE211" s="88"/>
      <c r="AF211" s="88"/>
      <c r="AG211" s="88"/>
      <c r="AH211" s="88"/>
      <c r="AI211" s="88"/>
      <c r="AJ211" s="88"/>
      <c r="AK211" s="88"/>
      <c r="AL211" s="88"/>
      <c r="AM211" s="88"/>
      <c r="AN211" s="88"/>
      <c r="AO211" s="88"/>
      <c r="AP211" s="88"/>
      <c r="AQ211" s="88"/>
      <c r="AR211" s="88"/>
      <c r="AS211" s="88"/>
      <c r="AT211" s="88"/>
      <c r="AU211" s="88"/>
      <c r="AV211" s="88"/>
      <c r="AW211" s="88"/>
      <c r="AX211" s="88"/>
      <c r="AY211" s="88"/>
      <c r="AZ211" s="88"/>
      <c r="BA211" s="88"/>
      <c r="BB211" s="88"/>
      <c r="BC211" s="88"/>
      <c r="BD211" s="88"/>
      <c r="BE211" s="88"/>
      <c r="BF211" s="88"/>
      <c r="BG211" s="88"/>
      <c r="BH211" s="88"/>
      <c r="BI211" s="88"/>
      <c r="BJ211" s="88"/>
    </row>
    <row r="212" spans="1:62" x14ac:dyDescent="0.3">
      <c r="A212" s="37"/>
      <c r="B212" s="26" t="s">
        <v>115</v>
      </c>
      <c r="L212" s="27"/>
      <c r="N212" s="34"/>
      <c r="O212" s="32"/>
      <c r="P212" s="31"/>
      <c r="Q212" s="33"/>
      <c r="R212" s="33"/>
      <c r="S212" s="31"/>
      <c r="AB212" s="88"/>
      <c r="AC212" s="88"/>
      <c r="AD212" s="88"/>
      <c r="AE212" s="88"/>
      <c r="AF212" s="88"/>
      <c r="AG212" s="88"/>
      <c r="AH212" s="88"/>
      <c r="AI212" s="88"/>
      <c r="AJ212" s="88"/>
      <c r="AK212" s="88"/>
      <c r="AL212" s="88"/>
      <c r="AM212" s="88"/>
      <c r="AN212" s="88"/>
      <c r="AO212" s="88"/>
      <c r="AP212" s="88"/>
      <c r="AQ212" s="88"/>
      <c r="AR212" s="88"/>
      <c r="AS212" s="88"/>
      <c r="AT212" s="88"/>
      <c r="AU212" s="88"/>
      <c r="AV212" s="88"/>
      <c r="AW212" s="88"/>
      <c r="AX212" s="88"/>
      <c r="AY212" s="88"/>
      <c r="AZ212" s="88"/>
      <c r="BA212" s="88"/>
      <c r="BB212" s="88"/>
      <c r="BC212" s="88"/>
      <c r="BD212" s="88"/>
      <c r="BE212" s="88"/>
      <c r="BF212" s="88"/>
      <c r="BG212" s="88"/>
      <c r="BH212" s="88"/>
      <c r="BI212" s="88"/>
      <c r="BJ212" s="88"/>
    </row>
    <row r="213" spans="1:62" x14ac:dyDescent="0.3">
      <c r="O213" s="32"/>
      <c r="P213" s="31"/>
      <c r="Q213" s="33"/>
      <c r="R213" s="33"/>
      <c r="S213" s="31"/>
      <c r="U213" s="43"/>
      <c r="V213" s="97"/>
      <c r="W213" s="40"/>
      <c r="Y213" s="42"/>
      <c r="AB213" s="88"/>
      <c r="AC213" s="88"/>
      <c r="AD213" s="88"/>
      <c r="AE213" s="88"/>
      <c r="AF213" s="88"/>
      <c r="AG213" s="88"/>
      <c r="AH213" s="88"/>
      <c r="AI213" s="88"/>
      <c r="AJ213" s="88"/>
      <c r="AK213" s="88"/>
      <c r="AL213" s="88"/>
      <c r="AM213" s="88"/>
      <c r="AN213" s="88"/>
      <c r="AO213" s="88"/>
      <c r="AP213" s="88"/>
      <c r="AQ213" s="88"/>
      <c r="AR213" s="88"/>
      <c r="AS213" s="88"/>
      <c r="AT213" s="88"/>
      <c r="AU213" s="88"/>
      <c r="AV213" s="88"/>
      <c r="AW213" s="88"/>
      <c r="AX213" s="88"/>
      <c r="AY213" s="88"/>
      <c r="AZ213" s="88"/>
      <c r="BA213" s="88"/>
      <c r="BB213" s="88"/>
      <c r="BC213" s="88"/>
      <c r="BD213" s="88"/>
      <c r="BE213" s="88"/>
      <c r="BF213" s="88"/>
      <c r="BG213" s="88"/>
      <c r="BH213" s="88"/>
      <c r="BI213" s="88"/>
      <c r="BJ213" s="88"/>
    </row>
    <row r="214" spans="1:62" x14ac:dyDescent="0.3">
      <c r="B214" s="25" t="s">
        <v>40</v>
      </c>
      <c r="C214" s="98">
        <f>C161</f>
        <v>6546</v>
      </c>
      <c r="D214" s="65" t="s">
        <v>38</v>
      </c>
      <c r="E214" s="66"/>
      <c r="L214" s="27"/>
      <c r="N214" s="34"/>
      <c r="O214" s="32"/>
      <c r="P214" s="31"/>
      <c r="Q214" s="33"/>
      <c r="R214" s="33"/>
      <c r="S214" s="31"/>
      <c r="AB214" s="88"/>
      <c r="AC214" s="88"/>
      <c r="AD214" s="88"/>
      <c r="AE214" s="88"/>
      <c r="AF214" s="88"/>
      <c r="AG214" s="88"/>
      <c r="AH214" s="88"/>
      <c r="AI214" s="88"/>
      <c r="AJ214" s="88"/>
      <c r="AK214" s="88"/>
      <c r="AL214" s="88"/>
      <c r="AM214" s="88"/>
      <c r="AN214" s="88"/>
      <c r="AO214" s="88"/>
      <c r="AP214" s="88"/>
      <c r="AQ214" s="88"/>
      <c r="AR214" s="88"/>
      <c r="AS214" s="88"/>
      <c r="AT214" s="88"/>
      <c r="AU214" s="88"/>
      <c r="AV214" s="88"/>
      <c r="AW214" s="88"/>
      <c r="AX214" s="88"/>
      <c r="AY214" s="88"/>
      <c r="AZ214" s="88"/>
      <c r="BA214" s="88"/>
      <c r="BB214" s="88"/>
      <c r="BC214" s="88"/>
      <c r="BD214" s="88"/>
      <c r="BE214" s="88"/>
      <c r="BF214" s="88"/>
      <c r="BG214" s="88"/>
      <c r="BH214" s="88"/>
      <c r="BI214" s="88"/>
      <c r="BJ214" s="88"/>
    </row>
    <row r="215" spans="1:62" x14ac:dyDescent="0.3">
      <c r="E215" s="66"/>
      <c r="F215" s="53">
        <f>F191</f>
        <v>18.262889942194128</v>
      </c>
      <c r="L215" s="27"/>
      <c r="N215" s="34"/>
      <c r="O215" s="32"/>
      <c r="P215" s="31"/>
      <c r="Q215" s="33"/>
      <c r="R215" s="33"/>
      <c r="S215" s="31"/>
      <c r="AB215" s="88"/>
      <c r="AC215" s="88"/>
      <c r="AD215" s="88"/>
      <c r="AE215" s="88"/>
      <c r="AF215" s="88"/>
      <c r="AG215" s="88"/>
      <c r="AH215" s="88"/>
      <c r="AI215" s="88"/>
      <c r="AJ215" s="88"/>
      <c r="AK215" s="88"/>
      <c r="AL215" s="88"/>
      <c r="AM215" s="88"/>
      <c r="AN215" s="88"/>
      <c r="AO215" s="88"/>
      <c r="AP215" s="88"/>
      <c r="AQ215" s="88"/>
      <c r="AR215" s="88"/>
      <c r="AS215" s="88"/>
      <c r="AT215" s="88"/>
      <c r="AU215" s="88"/>
      <c r="AV215" s="88"/>
      <c r="AW215" s="88"/>
      <c r="AX215" s="88"/>
      <c r="AY215" s="88"/>
      <c r="AZ215" s="88"/>
      <c r="BA215" s="88"/>
      <c r="BB215" s="88"/>
      <c r="BC215" s="88"/>
      <c r="BD215" s="88"/>
      <c r="BE215" s="88"/>
      <c r="BF215" s="88"/>
      <c r="BG215" s="88"/>
      <c r="BH215" s="88"/>
      <c r="BI215" s="88"/>
      <c r="BJ215" s="88"/>
    </row>
    <row r="216" spans="1:62" x14ac:dyDescent="0.3">
      <c r="B216" s="84"/>
      <c r="C216" s="85">
        <f>C162</f>
        <v>241</v>
      </c>
      <c r="D216" s="66" t="s">
        <v>11</v>
      </c>
      <c r="E216" s="66"/>
      <c r="F216" s="27" t="s">
        <v>41</v>
      </c>
      <c r="L216" s="27"/>
      <c r="N216" s="34"/>
      <c r="O216" s="32"/>
      <c r="P216" s="31"/>
      <c r="Q216" s="33"/>
      <c r="R216" s="33"/>
      <c r="S216" s="31"/>
      <c r="AB216" s="88"/>
      <c r="AC216" s="88"/>
      <c r="AD216" s="88"/>
      <c r="AE216" s="88"/>
      <c r="AF216" s="88"/>
      <c r="AG216" s="88"/>
      <c r="AH216" s="88"/>
      <c r="AI216" s="88"/>
      <c r="AJ216" s="88"/>
      <c r="AK216" s="88"/>
      <c r="AL216" s="88"/>
      <c r="AM216" s="88"/>
      <c r="AN216" s="88"/>
      <c r="AO216" s="88"/>
      <c r="AP216" s="88"/>
      <c r="AQ216" s="88"/>
      <c r="AR216" s="88"/>
      <c r="AS216" s="88"/>
      <c r="AT216" s="88"/>
      <c r="AU216" s="88"/>
      <c r="AV216" s="88"/>
      <c r="AW216" s="88"/>
      <c r="AX216" s="88"/>
      <c r="AY216" s="88"/>
      <c r="AZ216" s="88"/>
      <c r="BA216" s="88"/>
      <c r="BB216" s="88"/>
      <c r="BC216" s="88"/>
      <c r="BD216" s="88"/>
      <c r="BE216" s="88"/>
      <c r="BF216" s="88"/>
      <c r="BG216" s="88"/>
      <c r="BH216" s="88"/>
      <c r="BI216" s="88"/>
      <c r="BJ216" s="88"/>
    </row>
    <row r="217" spans="1:62" x14ac:dyDescent="0.3">
      <c r="B217" s="84"/>
      <c r="C217" s="85"/>
      <c r="D217" s="66"/>
      <c r="F217" s="54"/>
      <c r="L217" s="27"/>
      <c r="N217" s="34"/>
      <c r="O217" s="32"/>
      <c r="P217" s="31"/>
      <c r="Q217" s="33"/>
      <c r="R217" s="33"/>
      <c r="S217" s="31"/>
      <c r="AB217" s="88"/>
      <c r="AC217" s="88"/>
      <c r="AD217" s="88"/>
      <c r="AE217" s="88"/>
      <c r="AF217" s="88"/>
      <c r="AG217" s="88"/>
      <c r="AH217" s="88"/>
      <c r="AI217" s="88"/>
      <c r="AJ217" s="88"/>
      <c r="AK217" s="88"/>
      <c r="AL217" s="88"/>
      <c r="AM217" s="88"/>
      <c r="AN217" s="88"/>
      <c r="AO217" s="88"/>
      <c r="AP217" s="88"/>
      <c r="AQ217" s="88"/>
      <c r="AR217" s="88"/>
      <c r="AS217" s="88"/>
      <c r="AT217" s="88"/>
      <c r="AU217" s="88"/>
      <c r="AV217" s="88"/>
      <c r="AW217" s="88"/>
      <c r="AX217" s="88"/>
      <c r="AY217" s="88"/>
      <c r="AZ217" s="88"/>
      <c r="BA217" s="88"/>
      <c r="BB217" s="88"/>
      <c r="BC217" s="88"/>
      <c r="BD217" s="88"/>
      <c r="BE217" s="88"/>
      <c r="BF217" s="88"/>
      <c r="BG217" s="88"/>
      <c r="BH217" s="88"/>
      <c r="BI217" s="88"/>
      <c r="BJ217" s="88"/>
    </row>
    <row r="218" spans="1:62" x14ac:dyDescent="0.3">
      <c r="B218" s="84"/>
      <c r="C218" s="86"/>
      <c r="D218" s="66"/>
      <c r="E218" s="66"/>
      <c r="F218" s="54"/>
      <c r="L218" s="27"/>
      <c r="N218" s="34"/>
      <c r="O218" s="32"/>
      <c r="P218" s="31"/>
      <c r="Q218" s="33"/>
      <c r="R218" s="33"/>
      <c r="S218" s="31"/>
    </row>
    <row r="219" spans="1:62" x14ac:dyDescent="0.3">
      <c r="B219" s="84"/>
      <c r="C219" s="87"/>
      <c r="D219" s="66"/>
      <c r="E219" s="66"/>
      <c r="F219" s="54"/>
      <c r="L219" s="27"/>
      <c r="N219" s="34"/>
      <c r="O219" s="32"/>
      <c r="P219" s="31"/>
      <c r="Q219" s="33"/>
      <c r="R219" s="33"/>
      <c r="S219" s="31"/>
      <c r="AB219" s="99"/>
      <c r="AC219" s="99"/>
      <c r="AD219" s="99"/>
      <c r="AE219" s="99"/>
      <c r="AF219" s="99"/>
      <c r="AG219" s="99"/>
      <c r="AH219" s="99"/>
      <c r="AI219" s="99"/>
      <c r="AJ219" s="99"/>
      <c r="AK219" s="99"/>
      <c r="AL219" s="99"/>
      <c r="AM219" s="99"/>
      <c r="AN219" s="99"/>
      <c r="AO219" s="99"/>
      <c r="AP219" s="99"/>
      <c r="AQ219" s="99"/>
      <c r="AR219" s="99"/>
      <c r="AS219" s="99"/>
      <c r="AT219" s="99"/>
      <c r="AU219" s="99"/>
      <c r="AV219" s="99"/>
      <c r="AW219" s="99"/>
      <c r="AX219" s="99"/>
      <c r="AY219" s="99"/>
      <c r="AZ219" s="99"/>
      <c r="BA219" s="99"/>
      <c r="BB219" s="99"/>
      <c r="BC219" s="99"/>
      <c r="BD219" s="99"/>
      <c r="BE219" s="99"/>
      <c r="BF219" s="99"/>
      <c r="BG219" s="99"/>
      <c r="BH219" s="99"/>
      <c r="BI219" s="99"/>
      <c r="BJ219" s="99"/>
    </row>
    <row r="220" spans="1:62" x14ac:dyDescent="0.3">
      <c r="B220" s="89"/>
      <c r="C220" s="87"/>
      <c r="D220" s="66"/>
      <c r="E220" s="66"/>
      <c r="F220" s="54"/>
      <c r="L220" s="27"/>
      <c r="N220" s="34"/>
      <c r="O220" s="32"/>
      <c r="P220" s="31"/>
      <c r="Q220" s="33"/>
      <c r="R220" s="33"/>
      <c r="S220" s="31"/>
      <c r="V220" s="45"/>
      <c r="AB220" s="99"/>
      <c r="AC220" s="99"/>
      <c r="AD220" s="99"/>
      <c r="AE220" s="99"/>
      <c r="AF220" s="99"/>
      <c r="AG220" s="99"/>
      <c r="AH220" s="99"/>
      <c r="AI220" s="99"/>
      <c r="AJ220" s="99"/>
      <c r="AK220" s="99"/>
      <c r="AL220" s="99"/>
      <c r="AM220" s="99"/>
      <c r="AN220" s="99"/>
      <c r="AO220" s="99"/>
      <c r="AP220" s="99"/>
      <c r="AQ220" s="99"/>
      <c r="AR220" s="99"/>
      <c r="AS220" s="99"/>
      <c r="AT220" s="99"/>
      <c r="AU220" s="99"/>
      <c r="AV220" s="99"/>
      <c r="AW220" s="99"/>
      <c r="AX220" s="99"/>
      <c r="AY220" s="99"/>
      <c r="AZ220" s="99"/>
      <c r="BA220" s="99"/>
      <c r="BB220" s="99"/>
      <c r="BC220" s="99"/>
      <c r="BD220" s="99"/>
      <c r="BE220" s="99"/>
      <c r="BF220" s="99"/>
      <c r="BG220" s="99"/>
      <c r="BH220" s="99"/>
      <c r="BI220" s="99"/>
      <c r="BJ220" s="99"/>
    </row>
    <row r="221" spans="1:62" x14ac:dyDescent="0.3">
      <c r="B221" s="89"/>
      <c r="C221" s="85"/>
      <c r="D221" s="65"/>
      <c r="E221" s="66"/>
      <c r="L221" s="27"/>
      <c r="N221" s="34"/>
      <c r="O221" s="32"/>
      <c r="P221" s="31"/>
      <c r="Q221" s="33"/>
      <c r="R221" s="33"/>
      <c r="S221" s="31"/>
      <c r="Y221" s="42"/>
    </row>
    <row r="222" spans="1:62" x14ac:dyDescent="0.3">
      <c r="B222" s="84"/>
      <c r="C222" s="87"/>
      <c r="D222" s="65"/>
      <c r="E222" s="66"/>
      <c r="F222" s="86">
        <v>48.422807329970652</v>
      </c>
      <c r="G222" s="27" t="s">
        <v>11</v>
      </c>
      <c r="L222" s="27"/>
      <c r="N222" s="34"/>
      <c r="O222" s="32"/>
      <c r="P222" s="31"/>
      <c r="Q222" s="33"/>
      <c r="R222" s="33"/>
      <c r="S222" s="31"/>
      <c r="Y222" s="42"/>
      <c r="AB222" s="100"/>
      <c r="AC222" s="100"/>
      <c r="AD222" s="100"/>
      <c r="AE222" s="100"/>
      <c r="AF222" s="100"/>
      <c r="AG222" s="100"/>
      <c r="AH222" s="100"/>
      <c r="AI222" s="100"/>
      <c r="AJ222" s="100"/>
      <c r="AK222" s="100"/>
      <c r="AL222" s="100"/>
      <c r="AM222" s="100"/>
      <c r="AN222" s="100"/>
      <c r="AO222" s="100"/>
      <c r="AP222" s="100"/>
      <c r="AQ222" s="100"/>
      <c r="AR222" s="100"/>
      <c r="AS222" s="100"/>
      <c r="AT222" s="100"/>
      <c r="AU222" s="100"/>
      <c r="AV222" s="100"/>
      <c r="AW222" s="100"/>
      <c r="AX222" s="100"/>
      <c r="AY222" s="100"/>
      <c r="AZ222" s="100"/>
      <c r="BA222" s="100"/>
      <c r="BB222" s="100"/>
      <c r="BC222" s="100"/>
      <c r="BD222" s="100"/>
      <c r="BE222" s="100"/>
      <c r="BF222" s="100"/>
      <c r="BG222" s="100"/>
      <c r="BH222" s="100"/>
      <c r="BI222" s="100"/>
      <c r="BJ222" s="100"/>
    </row>
    <row r="223" spans="1:62" x14ac:dyDescent="0.3">
      <c r="B223" s="86"/>
      <c r="C223" s="86"/>
      <c r="H223" s="25" t="s">
        <v>42</v>
      </c>
      <c r="I223" s="50">
        <f>I225-I224</f>
        <v>199.93862719369662</v>
      </c>
      <c r="J223" s="27" t="s">
        <v>11</v>
      </c>
      <c r="L223" s="27"/>
      <c r="N223" s="34"/>
      <c r="O223" s="32"/>
      <c r="P223" s="31"/>
      <c r="Q223" s="33"/>
      <c r="R223" s="33"/>
      <c r="S223" s="31"/>
    </row>
    <row r="224" spans="1:62" x14ac:dyDescent="0.3">
      <c r="B224" s="90"/>
      <c r="C224" s="85"/>
      <c r="D224" s="66"/>
      <c r="H224" s="25" t="s">
        <v>43</v>
      </c>
      <c r="I224" s="50">
        <f>SIN((ATAN((C230-C216)/F222))+RADIANS(F215))*(F222^2+(C230-C216)^2)^0.5</f>
        <v>51.317482471322265</v>
      </c>
      <c r="J224" s="50" t="s">
        <v>11</v>
      </c>
      <c r="L224" s="27"/>
      <c r="N224" s="34"/>
      <c r="O224" s="32"/>
      <c r="P224" s="31"/>
      <c r="Q224" s="33"/>
      <c r="R224" s="33"/>
      <c r="S224" s="31"/>
      <c r="W224" s="49"/>
    </row>
    <row r="225" spans="1:34" x14ac:dyDescent="0.3">
      <c r="B225" s="86"/>
      <c r="C225" s="87"/>
      <c r="D225" s="66"/>
      <c r="F225" s="54"/>
      <c r="H225" s="25" t="s">
        <v>44</v>
      </c>
      <c r="I225" s="50">
        <f>(C230-B228)/COS(RADIANS(F215))</f>
        <v>251.25610966501887</v>
      </c>
      <c r="J225" s="27" t="s">
        <v>11</v>
      </c>
      <c r="L225" s="27"/>
      <c r="N225" s="34"/>
      <c r="O225" s="32"/>
      <c r="P225" s="31"/>
      <c r="Q225" s="33"/>
      <c r="R225" s="33"/>
      <c r="S225" s="31"/>
      <c r="V225" s="45"/>
    </row>
    <row r="226" spans="1:34" x14ac:dyDescent="0.3">
      <c r="B226" s="86"/>
      <c r="C226" s="87"/>
      <c r="F226" s="54"/>
      <c r="G226" s="38" t="s">
        <v>45</v>
      </c>
      <c r="H226" s="41"/>
      <c r="I226" s="41"/>
      <c r="J226" s="41"/>
      <c r="L226" s="27"/>
      <c r="N226" s="34"/>
      <c r="O226" s="32"/>
      <c r="P226" s="31"/>
      <c r="Q226" s="33"/>
      <c r="R226" s="33"/>
      <c r="S226" s="31"/>
    </row>
    <row r="227" spans="1:34" ht="15" x14ac:dyDescent="0.3">
      <c r="B227" s="86"/>
      <c r="C227" s="87"/>
      <c r="D227" s="71"/>
      <c r="F227" s="54"/>
      <c r="G227" s="43" t="s">
        <v>47</v>
      </c>
      <c r="H227" s="39" t="s">
        <v>142</v>
      </c>
      <c r="I227" s="40"/>
      <c r="J227" s="41"/>
      <c r="L227" s="27"/>
      <c r="N227" s="34"/>
      <c r="O227" s="32"/>
      <c r="P227" s="31"/>
      <c r="Q227" s="33"/>
      <c r="R227" s="33"/>
      <c r="S227" s="31"/>
      <c r="U227" s="45"/>
    </row>
    <row r="228" spans="1:34" x14ac:dyDescent="0.3">
      <c r="B228" s="101">
        <f>B147</f>
        <v>40.46</v>
      </c>
      <c r="C228" s="86"/>
      <c r="F228" s="25"/>
      <c r="G228" s="43" t="s">
        <v>50</v>
      </c>
      <c r="H228" s="79">
        <f>C214</f>
        <v>6546</v>
      </c>
      <c r="I228" s="41" t="s">
        <v>51</v>
      </c>
      <c r="J228" s="41"/>
      <c r="L228" s="27"/>
      <c r="N228" s="34"/>
      <c r="O228" s="32"/>
      <c r="P228" s="31"/>
      <c r="Q228" s="33"/>
      <c r="R228" s="33"/>
      <c r="S228" s="31"/>
      <c r="V228" s="45"/>
      <c r="W228" s="63"/>
    </row>
    <row r="229" spans="1:34" x14ac:dyDescent="0.3">
      <c r="B229" s="86"/>
      <c r="C229" s="86"/>
      <c r="G229" s="45" t="s">
        <v>54</v>
      </c>
      <c r="H229" s="94">
        <f>$I$142</f>
        <v>161.69999999999999</v>
      </c>
      <c r="I229" s="30" t="s">
        <v>55</v>
      </c>
      <c r="J229" s="30"/>
      <c r="L229" s="27"/>
      <c r="N229" s="34"/>
      <c r="O229" s="32"/>
      <c r="P229" s="31"/>
      <c r="Q229" s="33"/>
      <c r="R229" s="33"/>
      <c r="S229" s="31"/>
      <c r="U229" s="38" t="s">
        <v>46</v>
      </c>
      <c r="V229" s="58"/>
      <c r="W229" s="41"/>
      <c r="Y229" s="42"/>
      <c r="AA229" s="88"/>
      <c r="AB229" s="88"/>
      <c r="AC229" s="88"/>
      <c r="AD229" s="88"/>
      <c r="AE229" s="88"/>
      <c r="AF229" s="88"/>
      <c r="AG229" s="88"/>
      <c r="AH229" s="88"/>
    </row>
    <row r="230" spans="1:34" x14ac:dyDescent="0.3">
      <c r="B230" s="90"/>
      <c r="C230" s="90">
        <f>C149</f>
        <v>279.06</v>
      </c>
      <c r="D230" s="27" t="s">
        <v>11</v>
      </c>
      <c r="E230" s="66"/>
      <c r="F230" s="54"/>
      <c r="G230" s="45" t="s">
        <v>47</v>
      </c>
      <c r="H230" s="61">
        <f>4.4*(H228/H229)^0.25</f>
        <v>11.09862484764162</v>
      </c>
      <c r="I230" s="30" t="s">
        <v>57</v>
      </c>
      <c r="J230" s="30"/>
      <c r="L230" s="27"/>
      <c r="N230" s="34"/>
      <c r="O230" s="32"/>
      <c r="P230" s="31"/>
      <c r="Q230" s="33"/>
      <c r="R230" s="33"/>
      <c r="S230" s="31"/>
      <c r="V230" s="30">
        <f>H232/2</f>
        <v>5</v>
      </c>
      <c r="W230" s="30" t="s">
        <v>48</v>
      </c>
      <c r="Y230" s="42"/>
      <c r="Z230" s="30" t="s">
        <v>49</v>
      </c>
      <c r="AC230" s="41"/>
      <c r="AD230" s="88"/>
      <c r="AE230" s="88"/>
      <c r="AF230" s="88"/>
      <c r="AG230" s="88"/>
      <c r="AH230" s="88"/>
    </row>
    <row r="231" spans="1:34" x14ac:dyDescent="0.3">
      <c r="B231" s="72"/>
      <c r="C231" s="66"/>
      <c r="D231" s="66"/>
      <c r="E231" s="66"/>
      <c r="F231" s="54"/>
      <c r="G231" s="47" t="s">
        <v>59</v>
      </c>
      <c r="H231" s="46"/>
      <c r="I231" s="30"/>
      <c r="J231" s="30"/>
      <c r="L231" s="27"/>
      <c r="N231" s="34"/>
      <c r="O231" s="32"/>
      <c r="P231" s="31"/>
      <c r="Q231" s="33"/>
      <c r="R231" s="33"/>
      <c r="S231" s="31"/>
      <c r="U231" s="47" t="s">
        <v>52</v>
      </c>
      <c r="V231" s="92"/>
      <c r="Z231" s="43"/>
      <c r="AA231" s="93">
        <f>$D$84</f>
        <v>0.85</v>
      </c>
      <c r="AB231" s="41" t="s">
        <v>53</v>
      </c>
      <c r="AD231" s="88"/>
      <c r="AE231" s="88"/>
      <c r="AF231" s="88"/>
      <c r="AG231" s="88"/>
      <c r="AH231" s="88"/>
    </row>
    <row r="232" spans="1:34" x14ac:dyDescent="0.3">
      <c r="F232" s="54"/>
      <c r="G232" s="45" t="s">
        <v>47</v>
      </c>
      <c r="H232" s="95">
        <f>IF(H230&gt;10,10,H230)</f>
        <v>10</v>
      </c>
      <c r="I232" s="30" t="s">
        <v>48</v>
      </c>
      <c r="J232" s="30"/>
      <c r="L232" s="27"/>
      <c r="N232" s="34"/>
      <c r="O232" s="32"/>
      <c r="P232" s="31"/>
      <c r="Q232" s="33"/>
      <c r="R232" s="33"/>
      <c r="S232" s="31"/>
      <c r="U232" s="43"/>
      <c r="V232" s="83">
        <f>$D$81/12/V230</f>
        <v>0.1277777777777778</v>
      </c>
      <c r="W232" s="41" t="s">
        <v>56</v>
      </c>
      <c r="AD232" s="88"/>
      <c r="AE232" s="88"/>
      <c r="AF232" s="88"/>
      <c r="AG232" s="88"/>
      <c r="AH232" s="88"/>
    </row>
    <row r="233" spans="1:34" x14ac:dyDescent="0.3">
      <c r="A233" s="45"/>
      <c r="B233" s="30"/>
      <c r="C233" s="30"/>
      <c r="D233" s="30"/>
      <c r="E233" s="30"/>
      <c r="F233" s="30"/>
      <c r="G233" s="45" t="s">
        <v>62</v>
      </c>
      <c r="H233" s="64">
        <f>IF(V236/AA231&lt;2.67,2.67,V236/AA231)</f>
        <v>2.8593668091054942</v>
      </c>
      <c r="L233" s="27"/>
      <c r="N233" s="34"/>
      <c r="O233" s="32"/>
      <c r="P233" s="31"/>
      <c r="Q233" s="33"/>
      <c r="R233" s="33"/>
      <c r="S233" s="31"/>
      <c r="U233" s="30" t="s">
        <v>58</v>
      </c>
      <c r="Z233" s="88"/>
      <c r="AA233" s="88"/>
      <c r="AB233" s="88"/>
      <c r="AC233" s="88"/>
      <c r="AD233" s="88"/>
      <c r="AE233" s="88"/>
      <c r="AF233" s="88"/>
      <c r="AG233" s="88"/>
      <c r="AH233" s="88"/>
    </row>
    <row r="234" spans="1:34" x14ac:dyDescent="0.3">
      <c r="A234" s="102"/>
      <c r="B234" s="30"/>
      <c r="C234" s="103"/>
      <c r="D234" s="103"/>
      <c r="E234" s="103"/>
      <c r="F234" s="103"/>
      <c r="G234" s="25" t="s">
        <v>64</v>
      </c>
      <c r="H234" s="96">
        <f>IF(H233-0.667&lt;2,2,H233-0.667)</f>
        <v>2.1923668091054944</v>
      </c>
      <c r="L234" s="27"/>
      <c r="N234" s="34"/>
      <c r="O234" s="32"/>
      <c r="P234" s="31"/>
      <c r="Q234" s="33"/>
      <c r="R234" s="33"/>
      <c r="S234" s="31"/>
      <c r="V234" s="63">
        <f>(2*($D$81/12-H232*V232))/V232^2</f>
        <v>-78.260869565217391</v>
      </c>
      <c r="W234" s="30" t="s">
        <v>60</v>
      </c>
      <c r="Z234" s="88"/>
      <c r="AA234" s="88"/>
      <c r="AB234" s="88"/>
      <c r="AC234" s="88"/>
      <c r="AD234" s="88"/>
      <c r="AE234" s="88"/>
      <c r="AF234" s="88"/>
      <c r="AG234" s="88"/>
      <c r="AH234" s="88"/>
    </row>
    <row r="235" spans="1:34" x14ac:dyDescent="0.3">
      <c r="A235" s="190"/>
      <c r="B235" s="193"/>
      <c r="C235" s="195"/>
      <c r="D235" s="190"/>
      <c r="E235" s="190"/>
      <c r="F235" s="190"/>
      <c r="G235" s="195"/>
      <c r="H235" s="190"/>
      <c r="I235" s="190"/>
      <c r="J235" s="190"/>
      <c r="K235" s="190"/>
      <c r="L235" s="27"/>
      <c r="N235" s="34"/>
      <c r="O235" s="32"/>
      <c r="P235" s="31"/>
      <c r="Q235" s="33"/>
      <c r="R235" s="33"/>
      <c r="S235" s="31"/>
      <c r="U235" s="30" t="s">
        <v>61</v>
      </c>
      <c r="Z235" s="88"/>
      <c r="AA235" s="88"/>
      <c r="AB235" s="88"/>
      <c r="AC235" s="88"/>
      <c r="AD235" s="88"/>
      <c r="AE235" s="88"/>
      <c r="AF235" s="88"/>
      <c r="AG235" s="88"/>
      <c r="AH235" s="88"/>
    </row>
    <row r="236" spans="1:34" x14ac:dyDescent="0.3">
      <c r="A236" s="190"/>
      <c r="B236" s="196"/>
      <c r="C236" s="195"/>
      <c r="D236" s="197"/>
      <c r="E236" s="197"/>
      <c r="F236" s="198" t="s">
        <v>159</v>
      </c>
      <c r="G236" s="195"/>
      <c r="H236" s="197"/>
      <c r="I236" s="197"/>
      <c r="J236" s="197"/>
      <c r="K236" s="190"/>
      <c r="L236" s="27"/>
      <c r="N236" s="34"/>
      <c r="O236" s="32"/>
      <c r="P236" s="31"/>
      <c r="Q236" s="33"/>
      <c r="R236" s="33"/>
      <c r="S236" s="31"/>
      <c r="U236" s="45" t="s">
        <v>12</v>
      </c>
      <c r="V236" s="63">
        <f>ABS(V234/32.2)</f>
        <v>2.4304617877396701</v>
      </c>
      <c r="W236" s="30" t="s">
        <v>63</v>
      </c>
      <c r="Z236" s="88"/>
      <c r="AA236" s="88"/>
      <c r="AB236" s="88"/>
      <c r="AC236" s="88"/>
      <c r="AD236" s="88"/>
      <c r="AE236" s="88"/>
      <c r="AF236" s="88"/>
      <c r="AG236" s="88"/>
      <c r="AH236" s="88"/>
    </row>
    <row r="237" spans="1:34" x14ac:dyDescent="0.3">
      <c r="A237" s="190"/>
      <c r="B237" s="197"/>
      <c r="C237" s="197"/>
      <c r="D237" s="197"/>
      <c r="E237" s="197"/>
      <c r="F237" s="199" t="s">
        <v>160</v>
      </c>
      <c r="G237" s="197"/>
      <c r="H237" s="197"/>
      <c r="I237" s="197"/>
      <c r="J237" s="197"/>
      <c r="K237" s="190"/>
      <c r="L237" s="27"/>
      <c r="N237" s="34"/>
      <c r="O237" s="32"/>
      <c r="P237" s="31"/>
      <c r="Q237" s="33"/>
      <c r="R237" s="33"/>
      <c r="S237" s="31"/>
      <c r="AB237" s="88"/>
      <c r="AC237" s="88"/>
      <c r="AD237" s="88"/>
      <c r="AE237" s="88"/>
      <c r="AF237" s="88"/>
      <c r="AG237" s="88"/>
      <c r="AH237" s="88"/>
    </row>
    <row r="238" spans="1:34" x14ac:dyDescent="0.3">
      <c r="A238" s="14"/>
      <c r="B238" s="5"/>
      <c r="C238" s="5"/>
      <c r="D238" s="5"/>
      <c r="E238" s="7" t="s">
        <v>1</v>
      </c>
      <c r="F238" s="8" t="str">
        <f>$C$1</f>
        <v>R. Abbott</v>
      </c>
      <c r="G238" s="5"/>
      <c r="H238" s="15"/>
      <c r="I238" s="7" t="s">
        <v>8</v>
      </c>
      <c r="J238" s="16" t="str">
        <f>$G$2</f>
        <v>AA-SM-503</v>
      </c>
      <c r="K238" s="17"/>
      <c r="L238" s="18"/>
      <c r="M238" s="9"/>
      <c r="N238" s="9"/>
      <c r="O238" s="9"/>
      <c r="P238" s="9"/>
      <c r="Q238" s="33"/>
      <c r="R238" s="33"/>
      <c r="S238" s="31"/>
      <c r="AB238" s="88"/>
      <c r="AC238" s="88"/>
      <c r="AD238" s="88"/>
      <c r="AE238" s="88"/>
      <c r="AF238" s="88"/>
      <c r="AG238" s="88"/>
      <c r="AH238" s="88"/>
    </row>
    <row r="239" spans="1:34" x14ac:dyDescent="0.3">
      <c r="A239" s="5"/>
      <c r="B239" s="5"/>
      <c r="C239" s="5"/>
      <c r="D239" s="5"/>
      <c r="E239" s="7" t="s">
        <v>2</v>
      </c>
      <c r="F239" s="15" t="str">
        <f>$C$2</f>
        <v xml:space="preserve"> </v>
      </c>
      <c r="G239" s="5"/>
      <c r="H239" s="15"/>
      <c r="I239" s="7" t="s">
        <v>9</v>
      </c>
      <c r="J239" s="17" t="str">
        <f>$G$3</f>
        <v>IR</v>
      </c>
      <c r="K239" s="17"/>
      <c r="L239" s="18"/>
      <c r="M239" s="9">
        <v>1</v>
      </c>
      <c r="N239" s="9"/>
      <c r="O239" s="9"/>
      <c r="P239" s="9"/>
      <c r="Q239" s="33"/>
      <c r="R239" s="33"/>
      <c r="S239" s="31"/>
      <c r="AB239" s="88"/>
      <c r="AC239" s="88"/>
      <c r="AD239" s="88"/>
      <c r="AE239" s="88"/>
      <c r="AF239" s="88"/>
      <c r="AG239" s="88"/>
      <c r="AH239" s="88"/>
    </row>
    <row r="240" spans="1:34" x14ac:dyDescent="0.3">
      <c r="A240" s="5"/>
      <c r="B240" s="5"/>
      <c r="C240" s="5"/>
      <c r="D240" s="5"/>
      <c r="E240" s="7" t="s">
        <v>3</v>
      </c>
      <c r="F240" s="15" t="str">
        <f>$C$3</f>
        <v>20/10/2013</v>
      </c>
      <c r="G240" s="5"/>
      <c r="H240" s="15"/>
      <c r="I240" s="7" t="s">
        <v>6</v>
      </c>
      <c r="J240" s="8" t="str">
        <f>L240&amp;" of "&amp;$G$1</f>
        <v>5 of 15</v>
      </c>
      <c r="K240" s="15"/>
      <c r="L240" s="18">
        <f>SUM($M$1:M239)</f>
        <v>5</v>
      </c>
      <c r="M240" s="9"/>
      <c r="N240" s="9"/>
      <c r="O240" s="9"/>
      <c r="P240" s="9"/>
      <c r="Q240" s="33"/>
      <c r="R240" s="33"/>
      <c r="S240" s="31"/>
    </row>
    <row r="241" spans="1:62" x14ac:dyDescent="0.3">
      <c r="E241" s="7" t="s">
        <v>131</v>
      </c>
      <c r="F241" s="15" t="str">
        <f>$C$5</f>
        <v>STANDARD SPREADSHEET METHOD</v>
      </c>
      <c r="G241" s="5"/>
      <c r="H241" s="5"/>
      <c r="I241" s="19"/>
      <c r="J241" s="8"/>
      <c r="K241" s="5"/>
      <c r="L241" s="5"/>
      <c r="M241" s="9"/>
      <c r="N241" s="9"/>
      <c r="O241" s="9"/>
      <c r="P241" s="9"/>
      <c r="Q241" s="33"/>
      <c r="R241" s="33"/>
      <c r="S241" s="31"/>
    </row>
    <row r="242" spans="1:62" ht="13.5" customHeight="1" x14ac:dyDescent="0.3">
      <c r="A242" s="190"/>
      <c r="B242" s="21" t="str">
        <f>$G$4</f>
        <v>SIMPLE LANDING GEAR LOADS</v>
      </c>
      <c r="C242" s="190"/>
      <c r="D242" s="190"/>
      <c r="E242" s="190"/>
      <c r="F242" s="190"/>
      <c r="G242" s="190"/>
      <c r="H242" s="190"/>
      <c r="I242" s="190"/>
      <c r="J242" s="190"/>
      <c r="K242" s="190"/>
      <c r="L242" s="191"/>
      <c r="M242" s="192"/>
      <c r="N242" s="192"/>
      <c r="O242" s="192"/>
      <c r="P242" s="192"/>
      <c r="Q242" s="33"/>
      <c r="R242" s="33"/>
      <c r="S242" s="31"/>
      <c r="V242" s="41"/>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c r="BI242" s="83"/>
      <c r="BJ242" s="83"/>
    </row>
    <row r="243" spans="1:62" x14ac:dyDescent="0.3">
      <c r="A243" s="37"/>
      <c r="B243" s="26" t="s">
        <v>39</v>
      </c>
      <c r="O243" s="32"/>
      <c r="P243" s="31"/>
      <c r="Q243" s="33"/>
      <c r="R243" s="33"/>
      <c r="S243" s="31"/>
      <c r="V243" s="41"/>
      <c r="W243" s="79"/>
      <c r="X243" s="79"/>
      <c r="Y243" s="79"/>
      <c r="Z243" s="79"/>
      <c r="AA243" s="79"/>
      <c r="AB243" s="79"/>
      <c r="AC243" s="79"/>
      <c r="AD243" s="79"/>
      <c r="AE243" s="79"/>
      <c r="AF243" s="79"/>
      <c r="AG243" s="79"/>
      <c r="AH243" s="79"/>
      <c r="AI243" s="79"/>
      <c r="AJ243" s="79"/>
      <c r="AK243" s="79"/>
      <c r="AL243" s="79"/>
      <c r="AM243" s="79"/>
      <c r="AN243" s="79"/>
      <c r="AO243" s="79"/>
      <c r="AP243" s="79"/>
      <c r="AQ243" s="79"/>
      <c r="AR243" s="79"/>
      <c r="AS243" s="79"/>
      <c r="AT243" s="79"/>
      <c r="AU243" s="79"/>
      <c r="AV243" s="79"/>
      <c r="AW243" s="79"/>
      <c r="AX243" s="79"/>
      <c r="AY243" s="79"/>
      <c r="AZ243" s="79"/>
      <c r="BA243" s="79"/>
      <c r="BB243" s="79"/>
      <c r="BC243" s="79"/>
      <c r="BD243" s="79"/>
      <c r="BE243" s="79"/>
      <c r="BF243" s="79"/>
      <c r="BG243" s="79"/>
      <c r="BH243" s="79"/>
      <c r="BI243" s="79"/>
      <c r="BJ243" s="79"/>
    </row>
    <row r="244" spans="1:62" x14ac:dyDescent="0.3">
      <c r="B244" s="26"/>
      <c r="O244" s="32"/>
      <c r="P244" s="31"/>
      <c r="Q244" s="33"/>
      <c r="R244" s="33"/>
      <c r="S244" s="31"/>
      <c r="V244" s="41"/>
      <c r="W244" s="79"/>
      <c r="X244" s="79"/>
      <c r="Y244" s="79"/>
      <c r="Z244" s="79"/>
      <c r="AA244" s="79"/>
      <c r="AB244" s="79"/>
      <c r="AC244" s="79"/>
      <c r="AD244" s="79"/>
      <c r="AE244" s="79"/>
      <c r="AF244" s="79"/>
      <c r="AG244" s="79"/>
      <c r="AH244" s="79"/>
      <c r="AI244" s="79"/>
      <c r="AJ244" s="79"/>
      <c r="AK244" s="79"/>
      <c r="AL244" s="79"/>
      <c r="AM244" s="79"/>
      <c r="AN244" s="79"/>
      <c r="AO244" s="79"/>
      <c r="AP244" s="79"/>
      <c r="AQ244" s="79"/>
      <c r="AR244" s="79"/>
      <c r="AS244" s="79"/>
      <c r="AT244" s="79"/>
      <c r="AU244" s="79"/>
      <c r="AV244" s="79"/>
      <c r="AW244" s="79"/>
      <c r="AX244" s="79"/>
      <c r="AY244" s="79"/>
      <c r="AZ244" s="79"/>
      <c r="BA244" s="79"/>
      <c r="BB244" s="79"/>
      <c r="BC244" s="79"/>
      <c r="BD244" s="79"/>
      <c r="BE244" s="79"/>
      <c r="BF244" s="79"/>
      <c r="BG244" s="79"/>
      <c r="BH244" s="79"/>
      <c r="BI244" s="79"/>
      <c r="BJ244" s="79"/>
    </row>
    <row r="245" spans="1:62" x14ac:dyDescent="0.3">
      <c r="A245" s="37"/>
      <c r="B245" s="26" t="s">
        <v>116</v>
      </c>
      <c r="O245" s="32"/>
      <c r="P245" s="31"/>
      <c r="Q245" s="33"/>
      <c r="R245" s="33"/>
      <c r="S245" s="31"/>
      <c r="V245" s="41"/>
      <c r="W245" s="79"/>
      <c r="X245" s="79"/>
      <c r="Y245" s="79"/>
      <c r="Z245" s="79"/>
      <c r="AA245" s="79"/>
      <c r="AB245" s="79"/>
      <c r="AC245" s="79"/>
      <c r="AD245" s="79"/>
      <c r="AE245" s="79"/>
      <c r="AF245" s="79"/>
      <c r="AG245" s="79"/>
      <c r="AH245" s="79"/>
      <c r="AI245" s="79"/>
      <c r="AJ245" s="79"/>
      <c r="AK245" s="79"/>
      <c r="AL245" s="79"/>
      <c r="AM245" s="79"/>
      <c r="AN245" s="79"/>
      <c r="AO245" s="79"/>
      <c r="AP245" s="79"/>
      <c r="AQ245" s="79"/>
      <c r="AR245" s="79"/>
      <c r="AS245" s="79"/>
      <c r="AT245" s="79"/>
      <c r="AU245" s="79"/>
      <c r="AV245" s="79"/>
      <c r="AW245" s="79"/>
      <c r="AX245" s="79"/>
      <c r="AY245" s="79"/>
      <c r="AZ245" s="79"/>
      <c r="BA245" s="79"/>
      <c r="BB245" s="79"/>
      <c r="BC245" s="79"/>
      <c r="BD245" s="79"/>
      <c r="BE245" s="79"/>
      <c r="BF245" s="79"/>
      <c r="BG245" s="79"/>
      <c r="BH245" s="79"/>
      <c r="BI245" s="79"/>
      <c r="BJ245" s="79"/>
    </row>
    <row r="246" spans="1:62" x14ac:dyDescent="0.3">
      <c r="F246" s="54"/>
      <c r="G246" s="54"/>
      <c r="O246" s="32"/>
      <c r="P246" s="31"/>
      <c r="Q246" s="33"/>
      <c r="R246" s="33"/>
      <c r="S246" s="31"/>
      <c r="V246" s="41"/>
      <c r="W246" s="79"/>
      <c r="X246" s="79"/>
      <c r="Y246" s="79"/>
      <c r="Z246" s="79"/>
      <c r="AA246" s="79"/>
      <c r="AB246" s="79"/>
      <c r="AC246" s="79"/>
      <c r="AD246" s="79"/>
      <c r="AE246" s="79"/>
      <c r="AF246" s="79"/>
      <c r="AG246" s="79"/>
      <c r="AH246" s="79"/>
      <c r="AI246" s="79"/>
      <c r="AJ246" s="79"/>
      <c r="AK246" s="79"/>
      <c r="AL246" s="79"/>
      <c r="AM246" s="79"/>
      <c r="AN246" s="79"/>
      <c r="AO246" s="79"/>
      <c r="AP246" s="79"/>
      <c r="AQ246" s="79"/>
      <c r="AR246" s="79"/>
      <c r="AS246" s="79"/>
      <c r="AT246" s="79"/>
      <c r="AU246" s="79"/>
      <c r="AV246" s="79"/>
      <c r="AW246" s="79"/>
      <c r="AX246" s="79"/>
      <c r="AY246" s="79"/>
      <c r="AZ246" s="79"/>
      <c r="BA246" s="79"/>
      <c r="BB246" s="79"/>
      <c r="BC246" s="79"/>
      <c r="BD246" s="79"/>
      <c r="BE246" s="79"/>
      <c r="BF246" s="79"/>
      <c r="BG246" s="79"/>
      <c r="BH246" s="79"/>
      <c r="BI246" s="79"/>
      <c r="BJ246" s="79"/>
    </row>
    <row r="247" spans="1:62" x14ac:dyDescent="0.3">
      <c r="O247" s="32"/>
      <c r="P247" s="31"/>
      <c r="Q247" s="33"/>
      <c r="R247" s="33"/>
      <c r="S247" s="31"/>
      <c r="V247" s="41"/>
      <c r="W247" s="79"/>
      <c r="X247" s="79"/>
      <c r="Y247" s="79"/>
      <c r="Z247" s="79"/>
      <c r="AA247" s="79"/>
      <c r="AB247" s="79"/>
      <c r="AC247" s="79"/>
      <c r="AD247" s="79"/>
      <c r="AE247" s="79"/>
      <c r="AF247" s="79"/>
      <c r="AG247" s="79"/>
      <c r="AH247" s="79"/>
      <c r="AI247" s="79"/>
      <c r="AJ247" s="79"/>
      <c r="AK247" s="79"/>
      <c r="AL247" s="79"/>
      <c r="AM247" s="79"/>
      <c r="AN247" s="79"/>
      <c r="AO247" s="79"/>
      <c r="AP247" s="79"/>
      <c r="AQ247" s="79"/>
      <c r="AR247" s="79"/>
      <c r="AS247" s="79"/>
      <c r="AT247" s="79"/>
      <c r="AU247" s="79"/>
      <c r="AV247" s="79"/>
      <c r="AW247" s="79"/>
      <c r="AX247" s="79"/>
      <c r="AY247" s="79"/>
      <c r="AZ247" s="79"/>
      <c r="BA247" s="79"/>
      <c r="BB247" s="79"/>
      <c r="BC247" s="79"/>
      <c r="BD247" s="79"/>
      <c r="BE247" s="79"/>
      <c r="BF247" s="79"/>
      <c r="BG247" s="79"/>
      <c r="BH247" s="79"/>
      <c r="BI247" s="79"/>
      <c r="BJ247" s="79"/>
    </row>
    <row r="248" spans="1:62" x14ac:dyDescent="0.3">
      <c r="B248" s="25" t="s">
        <v>40</v>
      </c>
      <c r="C248" s="65">
        <f>G154</f>
        <v>5273</v>
      </c>
      <c r="D248" s="65" t="s">
        <v>38</v>
      </c>
      <c r="E248" s="66"/>
      <c r="O248" s="32"/>
      <c r="P248" s="31"/>
      <c r="Q248" s="33"/>
      <c r="R248" s="33"/>
      <c r="S248" s="31"/>
      <c r="V248" s="41"/>
      <c r="W248" s="79"/>
      <c r="X248" s="79"/>
      <c r="Y248" s="79"/>
      <c r="Z248" s="79"/>
      <c r="AA248" s="79"/>
      <c r="AB248" s="79"/>
      <c r="AC248" s="79"/>
      <c r="AD248" s="79"/>
      <c r="AE248" s="79"/>
      <c r="AF248" s="79"/>
      <c r="AG248" s="79"/>
      <c r="AH248" s="79"/>
      <c r="AI248" s="79"/>
      <c r="AJ248" s="79"/>
      <c r="AK248" s="79"/>
      <c r="AL248" s="79"/>
      <c r="AM248" s="79"/>
      <c r="AN248" s="79"/>
      <c r="AO248" s="79"/>
      <c r="AP248" s="79"/>
      <c r="AQ248" s="79"/>
      <c r="AR248" s="79"/>
      <c r="AS248" s="79"/>
      <c r="AT248" s="79"/>
      <c r="AU248" s="79"/>
      <c r="AV248" s="79"/>
      <c r="AW248" s="79"/>
      <c r="AX248" s="79"/>
      <c r="AY248" s="79"/>
      <c r="AZ248" s="79"/>
      <c r="BA248" s="79"/>
      <c r="BB248" s="79"/>
      <c r="BC248" s="79"/>
      <c r="BD248" s="79"/>
      <c r="BE248" s="79"/>
      <c r="BF248" s="79"/>
      <c r="BG248" s="79"/>
      <c r="BH248" s="79"/>
      <c r="BI248" s="79"/>
      <c r="BJ248" s="79"/>
    </row>
    <row r="249" spans="1:62" x14ac:dyDescent="0.3">
      <c r="E249" s="66"/>
      <c r="F249" s="53">
        <f>F215</f>
        <v>18.262889942194128</v>
      </c>
      <c r="O249" s="32"/>
      <c r="P249" s="31"/>
      <c r="Q249" s="33"/>
      <c r="R249" s="33"/>
      <c r="S249" s="31"/>
      <c r="V249" s="41"/>
      <c r="W249" s="79"/>
      <c r="X249" s="79"/>
      <c r="Y249" s="79"/>
      <c r="Z249" s="79"/>
      <c r="AA249" s="79"/>
      <c r="AB249" s="79"/>
      <c r="AC249" s="79"/>
      <c r="AD249" s="79"/>
      <c r="AE249" s="79"/>
      <c r="AF249" s="79"/>
      <c r="AG249" s="79"/>
      <c r="AH249" s="79"/>
      <c r="AI249" s="79"/>
      <c r="AJ249" s="79"/>
      <c r="AK249" s="79"/>
      <c r="AL249" s="79"/>
      <c r="AM249" s="79"/>
      <c r="AN249" s="79"/>
      <c r="AO249" s="79"/>
      <c r="AP249" s="79"/>
      <c r="AQ249" s="79"/>
      <c r="AR249" s="79"/>
      <c r="AS249" s="79"/>
      <c r="AT249" s="79"/>
      <c r="AU249" s="79"/>
      <c r="AV249" s="79"/>
      <c r="AW249" s="79"/>
      <c r="AX249" s="79"/>
      <c r="AY249" s="79"/>
      <c r="AZ249" s="79"/>
      <c r="BA249" s="79"/>
      <c r="BB249" s="79"/>
      <c r="BC249" s="79"/>
      <c r="BD249" s="79"/>
      <c r="BE249" s="79"/>
      <c r="BF249" s="79"/>
      <c r="BG249" s="79"/>
      <c r="BH249" s="79"/>
      <c r="BI249" s="79"/>
      <c r="BJ249" s="79"/>
    </row>
    <row r="250" spans="1:62" x14ac:dyDescent="0.3">
      <c r="B250" s="84"/>
      <c r="C250" s="85">
        <f>G155</f>
        <v>238.45</v>
      </c>
      <c r="D250" s="66" t="s">
        <v>11</v>
      </c>
      <c r="E250" s="66"/>
      <c r="F250" s="27" t="s">
        <v>41</v>
      </c>
      <c r="O250" s="32"/>
      <c r="P250" s="31"/>
      <c r="Q250" s="33"/>
      <c r="R250" s="33"/>
      <c r="S250" s="31"/>
      <c r="V250" s="41"/>
      <c r="W250" s="79"/>
      <c r="X250" s="79"/>
      <c r="Y250" s="79"/>
      <c r="Z250" s="79"/>
      <c r="AA250" s="79"/>
      <c r="AB250" s="79"/>
      <c r="AC250" s="79"/>
      <c r="AD250" s="79"/>
      <c r="AE250" s="79"/>
      <c r="AF250" s="79"/>
      <c r="AG250" s="79"/>
      <c r="AH250" s="79"/>
      <c r="AI250" s="79"/>
      <c r="AJ250" s="79"/>
      <c r="AK250" s="79"/>
      <c r="AL250" s="79"/>
      <c r="AM250" s="79"/>
      <c r="AN250" s="79"/>
      <c r="AO250" s="79"/>
      <c r="AP250" s="79"/>
      <c r="AQ250" s="79"/>
      <c r="AR250" s="79"/>
      <c r="AS250" s="79"/>
      <c r="AT250" s="79"/>
      <c r="AU250" s="79"/>
      <c r="AV250" s="79"/>
      <c r="AW250" s="79"/>
      <c r="AX250" s="79"/>
      <c r="AY250" s="79"/>
      <c r="AZ250" s="79"/>
      <c r="BA250" s="79"/>
      <c r="BB250" s="79"/>
      <c r="BC250" s="79"/>
      <c r="BD250" s="79"/>
      <c r="BE250" s="79"/>
      <c r="BF250" s="79"/>
      <c r="BG250" s="79"/>
      <c r="BH250" s="79"/>
      <c r="BI250" s="79"/>
      <c r="BJ250" s="79"/>
    </row>
    <row r="251" spans="1:62" x14ac:dyDescent="0.3">
      <c r="B251" s="84"/>
      <c r="C251" s="85"/>
      <c r="D251" s="66"/>
      <c r="F251" s="54"/>
      <c r="O251" s="32"/>
      <c r="P251" s="31"/>
      <c r="Q251" s="33"/>
      <c r="R251" s="33"/>
      <c r="S251" s="31"/>
      <c r="V251" s="41"/>
      <c r="W251" s="79"/>
      <c r="X251" s="79"/>
      <c r="Y251" s="79"/>
      <c r="Z251" s="79"/>
      <c r="AA251" s="79"/>
      <c r="AB251" s="79"/>
      <c r="AC251" s="79"/>
      <c r="AD251" s="79"/>
      <c r="AE251" s="79"/>
      <c r="AF251" s="79"/>
      <c r="AG251" s="79"/>
      <c r="AH251" s="79"/>
      <c r="AI251" s="79"/>
      <c r="AJ251" s="79"/>
      <c r="AK251" s="79"/>
      <c r="AL251" s="79"/>
      <c r="AM251" s="79"/>
      <c r="AN251" s="79"/>
      <c r="AO251" s="79"/>
      <c r="AP251" s="79"/>
      <c r="AQ251" s="79"/>
      <c r="AR251" s="79"/>
      <c r="AS251" s="79"/>
      <c r="AT251" s="79"/>
      <c r="AU251" s="79"/>
      <c r="AV251" s="79"/>
      <c r="AW251" s="79"/>
      <c r="AX251" s="79"/>
      <c r="AY251" s="79"/>
      <c r="AZ251" s="79"/>
      <c r="BA251" s="79"/>
      <c r="BB251" s="79"/>
      <c r="BC251" s="79"/>
      <c r="BD251" s="79"/>
      <c r="BE251" s="79"/>
      <c r="BF251" s="79"/>
      <c r="BG251" s="79"/>
      <c r="BH251" s="79"/>
      <c r="BI251" s="79"/>
      <c r="BJ251" s="79"/>
    </row>
    <row r="252" spans="1:62" x14ac:dyDescent="0.3">
      <c r="B252" s="84"/>
      <c r="C252" s="86"/>
      <c r="D252" s="66"/>
      <c r="E252" s="66"/>
      <c r="F252" s="54"/>
      <c r="O252" s="32"/>
      <c r="P252" s="31"/>
      <c r="Q252" s="33"/>
      <c r="R252" s="33"/>
      <c r="S252" s="31"/>
      <c r="V252" s="41"/>
      <c r="W252" s="79"/>
      <c r="X252" s="79"/>
      <c r="Y252" s="79"/>
      <c r="Z252" s="79"/>
      <c r="AA252" s="79"/>
      <c r="AB252" s="79"/>
      <c r="AC252" s="79"/>
      <c r="AD252" s="79"/>
      <c r="AE252" s="79"/>
      <c r="AF252" s="79"/>
      <c r="AG252" s="79"/>
      <c r="AH252" s="79"/>
      <c r="AI252" s="79"/>
      <c r="AJ252" s="79"/>
      <c r="AK252" s="79"/>
      <c r="AL252" s="79"/>
      <c r="AM252" s="79"/>
      <c r="AN252" s="79"/>
      <c r="AO252" s="79"/>
      <c r="AP252" s="79"/>
      <c r="AQ252" s="79"/>
      <c r="AR252" s="79"/>
      <c r="AS252" s="79"/>
      <c r="AT252" s="79"/>
      <c r="AU252" s="79"/>
      <c r="AV252" s="79"/>
      <c r="AW252" s="79"/>
      <c r="AX252" s="79"/>
      <c r="AY252" s="79"/>
      <c r="AZ252" s="79"/>
      <c r="BA252" s="79"/>
      <c r="BB252" s="79"/>
      <c r="BC252" s="79"/>
      <c r="BD252" s="79"/>
      <c r="BE252" s="79"/>
      <c r="BF252" s="79"/>
      <c r="BG252" s="79"/>
      <c r="BH252" s="79"/>
      <c r="BI252" s="79"/>
      <c r="BJ252" s="79"/>
    </row>
    <row r="253" spans="1:62" x14ac:dyDescent="0.3">
      <c r="B253" s="84"/>
      <c r="C253" s="87"/>
      <c r="D253" s="66"/>
      <c r="E253" s="66"/>
      <c r="F253" s="54"/>
      <c r="O253" s="32"/>
      <c r="P253" s="31"/>
      <c r="Q253" s="33"/>
      <c r="R253" s="33"/>
      <c r="S253" s="31"/>
      <c r="V253" s="41"/>
      <c r="W253" s="88"/>
      <c r="X253" s="88"/>
      <c r="Y253" s="88"/>
      <c r="Z253" s="88"/>
      <c r="AA253" s="88"/>
      <c r="AB253" s="88"/>
      <c r="AC253" s="88"/>
      <c r="AD253" s="88"/>
      <c r="AE253" s="88"/>
      <c r="AF253" s="88"/>
      <c r="AG253" s="88"/>
      <c r="AH253" s="88"/>
      <c r="AI253" s="88"/>
      <c r="AJ253" s="88"/>
      <c r="AK253" s="88"/>
      <c r="AL253" s="88"/>
      <c r="AM253" s="88"/>
      <c r="AN253" s="88"/>
      <c r="AO253" s="88"/>
      <c r="AP253" s="88"/>
      <c r="AQ253" s="88"/>
      <c r="AR253" s="88"/>
      <c r="AS253" s="88"/>
      <c r="AT253" s="88"/>
      <c r="AU253" s="88"/>
      <c r="AV253" s="88"/>
      <c r="AW253" s="88"/>
      <c r="AX253" s="88"/>
      <c r="AY253" s="88"/>
      <c r="AZ253" s="88"/>
      <c r="BA253" s="88"/>
      <c r="BB253" s="88"/>
      <c r="BC253" s="88"/>
      <c r="BD253" s="88"/>
      <c r="BE253" s="88"/>
      <c r="BF253" s="88"/>
      <c r="BG253" s="88"/>
      <c r="BH253" s="88"/>
      <c r="BI253" s="88"/>
      <c r="BJ253" s="88"/>
    </row>
    <row r="254" spans="1:62" x14ac:dyDescent="0.3">
      <c r="B254" s="89"/>
      <c r="C254" s="87"/>
      <c r="D254" s="66"/>
      <c r="E254" s="66"/>
      <c r="F254" s="54"/>
      <c r="O254" s="32"/>
      <c r="P254" s="31"/>
      <c r="Q254" s="33"/>
      <c r="R254" s="33"/>
      <c r="S254" s="31"/>
      <c r="V254" s="41"/>
      <c r="W254" s="88"/>
      <c r="X254" s="88"/>
      <c r="Y254" s="88"/>
      <c r="Z254" s="88"/>
      <c r="AA254" s="88"/>
      <c r="AB254" s="88"/>
      <c r="AC254" s="88"/>
      <c r="AD254" s="88"/>
      <c r="AE254" s="88"/>
      <c r="AF254" s="88"/>
      <c r="AG254" s="88"/>
      <c r="AH254" s="88"/>
      <c r="AI254" s="88"/>
      <c r="AJ254" s="88"/>
      <c r="AK254" s="88"/>
      <c r="AL254" s="88"/>
      <c r="AM254" s="88"/>
      <c r="AN254" s="88"/>
      <c r="AO254" s="88"/>
      <c r="AP254" s="88"/>
      <c r="AQ254" s="88"/>
      <c r="AR254" s="88"/>
      <c r="AS254" s="88"/>
      <c r="AT254" s="88"/>
      <c r="AU254" s="88"/>
      <c r="AV254" s="88"/>
      <c r="AW254" s="88"/>
      <c r="AX254" s="88"/>
      <c r="AY254" s="88"/>
      <c r="AZ254" s="88"/>
      <c r="BA254" s="88"/>
      <c r="BB254" s="88"/>
      <c r="BC254" s="88"/>
      <c r="BD254" s="88"/>
      <c r="BE254" s="88"/>
      <c r="BF254" s="88"/>
      <c r="BG254" s="88"/>
      <c r="BH254" s="88"/>
      <c r="BI254" s="88"/>
      <c r="BJ254" s="88"/>
    </row>
    <row r="255" spans="1:62" x14ac:dyDescent="0.3">
      <c r="B255" s="89"/>
      <c r="C255" s="85"/>
      <c r="D255" s="65"/>
      <c r="E255" s="66"/>
      <c r="O255" s="32"/>
      <c r="P255" s="31"/>
      <c r="Q255" s="33"/>
      <c r="R255" s="33"/>
      <c r="S255" s="31"/>
      <c r="V255" s="41"/>
      <c r="W255" s="88"/>
      <c r="X255" s="88"/>
      <c r="Y255" s="88"/>
      <c r="Z255" s="88"/>
      <c r="AA255" s="88"/>
      <c r="AB255" s="88"/>
      <c r="AC255" s="88"/>
      <c r="AD255" s="88"/>
      <c r="AE255" s="88"/>
      <c r="AF255" s="88"/>
      <c r="AG255" s="88"/>
      <c r="AH255" s="88"/>
      <c r="AI255" s="88"/>
      <c r="AJ255" s="88"/>
      <c r="AK255" s="88"/>
      <c r="AL255" s="88"/>
      <c r="AM255" s="88"/>
      <c r="AN255" s="88"/>
      <c r="AO255" s="88"/>
      <c r="AP255" s="88"/>
      <c r="AQ255" s="88"/>
      <c r="AR255" s="88"/>
      <c r="AS255" s="88"/>
      <c r="AT255" s="88"/>
      <c r="AU255" s="88"/>
      <c r="AV255" s="88"/>
      <c r="AW255" s="88"/>
      <c r="AX255" s="88"/>
      <c r="AY255" s="88"/>
      <c r="AZ255" s="88"/>
      <c r="BA255" s="88"/>
      <c r="BB255" s="88"/>
      <c r="BC255" s="88"/>
      <c r="BD255" s="88"/>
      <c r="BE255" s="88"/>
      <c r="BF255" s="88"/>
      <c r="BG255" s="88"/>
      <c r="BH255" s="88"/>
      <c r="BI255" s="88"/>
      <c r="BJ255" s="88"/>
    </row>
    <row r="256" spans="1:62" x14ac:dyDescent="0.3">
      <c r="B256" s="84"/>
      <c r="C256" s="87"/>
      <c r="D256" s="65"/>
      <c r="E256" s="66"/>
      <c r="F256" s="86">
        <v>51.09556410336014</v>
      </c>
      <c r="G256" s="27" t="s">
        <v>11</v>
      </c>
      <c r="L256" s="27"/>
      <c r="N256" s="34"/>
      <c r="O256" s="32"/>
      <c r="P256" s="31"/>
      <c r="Q256" s="33"/>
      <c r="R256" s="33"/>
      <c r="S256" s="31"/>
      <c r="V256" s="41"/>
      <c r="W256" s="88"/>
      <c r="X256" s="88"/>
      <c r="Y256" s="88"/>
      <c r="Z256" s="88"/>
      <c r="AA256" s="88"/>
      <c r="AB256" s="88"/>
      <c r="AC256" s="88"/>
      <c r="AD256" s="88"/>
      <c r="AE256" s="88"/>
      <c r="AF256" s="88"/>
      <c r="AG256" s="88"/>
      <c r="AH256" s="88"/>
      <c r="AI256" s="88"/>
      <c r="AJ256" s="88"/>
      <c r="AK256" s="88"/>
      <c r="AL256" s="88"/>
      <c r="AM256" s="88"/>
      <c r="AN256" s="88"/>
      <c r="AO256" s="88"/>
      <c r="AP256" s="88"/>
      <c r="AQ256" s="88"/>
      <c r="AR256" s="88"/>
      <c r="AS256" s="88"/>
      <c r="AT256" s="88"/>
      <c r="AU256" s="88"/>
      <c r="AV256" s="88"/>
      <c r="AW256" s="88"/>
      <c r="AX256" s="88"/>
      <c r="AY256" s="88"/>
      <c r="AZ256" s="88"/>
      <c r="BA256" s="88"/>
      <c r="BB256" s="88"/>
      <c r="BC256" s="88"/>
      <c r="BD256" s="88"/>
      <c r="BE256" s="88"/>
      <c r="BF256" s="88"/>
      <c r="BG256" s="88"/>
      <c r="BH256" s="88"/>
      <c r="BI256" s="88"/>
      <c r="BJ256" s="88"/>
    </row>
    <row r="257" spans="1:62" x14ac:dyDescent="0.3">
      <c r="B257" s="86"/>
      <c r="C257" s="86"/>
      <c r="H257" s="25" t="s">
        <v>42</v>
      </c>
      <c r="I257" s="50">
        <f>I259-I258</f>
        <v>196.67949242513362</v>
      </c>
      <c r="J257" s="27" t="s">
        <v>11</v>
      </c>
      <c r="L257" s="27"/>
      <c r="N257" s="34"/>
      <c r="O257" s="32"/>
      <c r="P257" s="31"/>
      <c r="Q257" s="33"/>
      <c r="R257" s="33"/>
      <c r="S257" s="31"/>
      <c r="V257" s="41"/>
      <c r="W257" s="88"/>
      <c r="X257" s="88"/>
      <c r="Y257" s="88"/>
      <c r="Z257" s="88"/>
      <c r="AA257" s="88"/>
      <c r="AB257" s="88"/>
      <c r="AC257" s="88"/>
      <c r="AD257" s="88"/>
      <c r="AE257" s="88"/>
      <c r="AF257" s="88"/>
      <c r="AG257" s="88"/>
      <c r="AH257" s="88"/>
      <c r="AI257" s="88"/>
      <c r="AJ257" s="88"/>
      <c r="AK257" s="88"/>
      <c r="AL257" s="88"/>
      <c r="AM257" s="88"/>
      <c r="AN257" s="88"/>
      <c r="AO257" s="88"/>
      <c r="AP257" s="88"/>
      <c r="AQ257" s="88"/>
      <c r="AR257" s="88"/>
      <c r="AS257" s="88"/>
      <c r="AT257" s="88"/>
      <c r="AU257" s="88"/>
      <c r="AV257" s="88"/>
      <c r="AW257" s="88"/>
      <c r="AX257" s="88"/>
      <c r="AY257" s="88"/>
      <c r="AZ257" s="88"/>
      <c r="BA257" s="88"/>
      <c r="BB257" s="88"/>
      <c r="BC257" s="88"/>
      <c r="BD257" s="88"/>
      <c r="BE257" s="88"/>
      <c r="BF257" s="88"/>
      <c r="BG257" s="88"/>
      <c r="BH257" s="88"/>
      <c r="BI257" s="88"/>
      <c r="BJ257" s="88"/>
    </row>
    <row r="258" spans="1:62" x14ac:dyDescent="0.3">
      <c r="B258" s="90"/>
      <c r="C258" s="85"/>
      <c r="D258" s="66"/>
      <c r="H258" s="25" t="s">
        <v>43</v>
      </c>
      <c r="I258" s="50">
        <f>SIN((ATAN((C264-C250)/F256))+RADIANS(F249))*(F256^2+(C264-C250)^2)^0.5</f>
        <v>54.576617239885266</v>
      </c>
      <c r="J258" s="50" t="s">
        <v>11</v>
      </c>
      <c r="L258" s="27"/>
      <c r="N258" s="34"/>
      <c r="O258" s="32"/>
      <c r="P258" s="31"/>
      <c r="Q258" s="33"/>
      <c r="R258" s="33"/>
      <c r="S258" s="31"/>
      <c r="V258" s="41"/>
      <c r="W258" s="88"/>
      <c r="X258" s="88"/>
      <c r="Y258" s="88"/>
      <c r="Z258" s="88"/>
      <c r="AA258" s="88"/>
      <c r="AB258" s="88"/>
      <c r="AC258" s="88"/>
      <c r="AD258" s="88"/>
      <c r="AE258" s="88"/>
      <c r="AF258" s="88"/>
      <c r="AG258" s="88"/>
      <c r="AH258" s="88"/>
      <c r="AI258" s="88"/>
      <c r="AJ258" s="88"/>
      <c r="AK258" s="88"/>
      <c r="AL258" s="88"/>
      <c r="AM258" s="88"/>
      <c r="AN258" s="88"/>
      <c r="AO258" s="88"/>
      <c r="AP258" s="88"/>
      <c r="AQ258" s="88"/>
      <c r="AR258" s="88"/>
      <c r="AS258" s="88"/>
      <c r="AT258" s="88"/>
      <c r="AU258" s="88"/>
      <c r="AV258" s="88"/>
      <c r="AW258" s="88"/>
      <c r="AX258" s="88"/>
      <c r="AY258" s="88"/>
      <c r="AZ258" s="88"/>
      <c r="BA258" s="88"/>
      <c r="BB258" s="88"/>
      <c r="BC258" s="88"/>
      <c r="BD258" s="88"/>
      <c r="BE258" s="88"/>
      <c r="BF258" s="88"/>
      <c r="BG258" s="88"/>
      <c r="BH258" s="88"/>
      <c r="BI258" s="88"/>
      <c r="BJ258" s="88"/>
    </row>
    <row r="259" spans="1:62" x14ac:dyDescent="0.3">
      <c r="B259" s="86"/>
      <c r="C259" s="87"/>
      <c r="D259" s="66"/>
      <c r="F259" s="54"/>
      <c r="H259" s="25" t="s">
        <v>44</v>
      </c>
      <c r="I259" s="50">
        <f>(C264-B262)/COS(RADIANS(F249))</f>
        <v>251.25610966501887</v>
      </c>
      <c r="J259" s="27" t="s">
        <v>11</v>
      </c>
      <c r="L259" s="27"/>
      <c r="N259" s="34"/>
      <c r="O259" s="32"/>
      <c r="P259" s="31"/>
      <c r="Q259" s="33"/>
      <c r="R259" s="33"/>
      <c r="S259" s="31"/>
      <c r="V259" s="41"/>
      <c r="W259" s="88"/>
      <c r="X259" s="88"/>
      <c r="Y259" s="88"/>
      <c r="Z259" s="88"/>
      <c r="AA259" s="88"/>
      <c r="AB259" s="88"/>
      <c r="AC259" s="88"/>
      <c r="AD259" s="88"/>
      <c r="AE259" s="88"/>
      <c r="AF259" s="88"/>
      <c r="AG259" s="88"/>
      <c r="AH259" s="88"/>
      <c r="AI259" s="88"/>
      <c r="AJ259" s="88"/>
      <c r="AK259" s="88"/>
      <c r="AL259" s="88"/>
      <c r="AM259" s="88"/>
      <c r="AN259" s="88"/>
      <c r="AO259" s="88"/>
      <c r="AP259" s="88"/>
      <c r="AQ259" s="88"/>
      <c r="AR259" s="88"/>
      <c r="AS259" s="88"/>
      <c r="AT259" s="88"/>
      <c r="AU259" s="88"/>
      <c r="AV259" s="88"/>
      <c r="AW259" s="88"/>
      <c r="AX259" s="88"/>
      <c r="AY259" s="88"/>
      <c r="AZ259" s="88"/>
      <c r="BA259" s="88"/>
      <c r="BB259" s="88"/>
      <c r="BC259" s="88"/>
      <c r="BD259" s="88"/>
      <c r="BE259" s="88"/>
      <c r="BF259" s="88"/>
      <c r="BG259" s="88"/>
      <c r="BH259" s="88"/>
      <c r="BI259" s="88"/>
      <c r="BJ259" s="88"/>
    </row>
    <row r="260" spans="1:62" x14ac:dyDescent="0.3">
      <c r="B260" s="86"/>
      <c r="C260" s="87"/>
      <c r="F260" s="54"/>
      <c r="G260" s="38" t="s">
        <v>45</v>
      </c>
      <c r="H260" s="41"/>
      <c r="I260" s="41"/>
      <c r="J260" s="41"/>
      <c r="L260" s="27"/>
      <c r="N260" s="34"/>
      <c r="O260" s="32"/>
      <c r="P260" s="31"/>
      <c r="Q260" s="33"/>
      <c r="R260" s="33"/>
      <c r="S260" s="31"/>
      <c r="V260" s="41"/>
      <c r="W260" s="88"/>
      <c r="X260" s="88"/>
      <c r="Y260" s="88"/>
      <c r="Z260" s="88"/>
      <c r="AA260" s="88"/>
      <c r="AB260" s="88"/>
      <c r="AC260" s="88"/>
      <c r="AD260" s="88"/>
      <c r="AE260" s="88"/>
      <c r="AF260" s="88"/>
      <c r="AG260" s="88"/>
      <c r="AH260" s="88"/>
      <c r="AI260" s="88"/>
      <c r="AJ260" s="88"/>
      <c r="AK260" s="88"/>
      <c r="AL260" s="88"/>
      <c r="AM260" s="88"/>
      <c r="AN260" s="88"/>
      <c r="AO260" s="88"/>
      <c r="AP260" s="88"/>
      <c r="AQ260" s="88"/>
      <c r="AR260" s="88"/>
      <c r="AS260" s="88"/>
      <c r="AT260" s="88"/>
      <c r="AU260" s="88"/>
      <c r="AV260" s="88"/>
      <c r="AW260" s="88"/>
      <c r="AX260" s="88"/>
      <c r="AY260" s="88"/>
      <c r="AZ260" s="88"/>
      <c r="BA260" s="88"/>
      <c r="BB260" s="88"/>
      <c r="BC260" s="88"/>
      <c r="BD260" s="88"/>
      <c r="BE260" s="88"/>
      <c r="BF260" s="88"/>
      <c r="BG260" s="88"/>
      <c r="BH260" s="88"/>
      <c r="BI260" s="88"/>
      <c r="BJ260" s="88"/>
    </row>
    <row r="261" spans="1:62" ht="15" x14ac:dyDescent="0.3">
      <c r="B261" s="86"/>
      <c r="C261" s="87"/>
      <c r="D261" s="71"/>
      <c r="F261" s="54"/>
      <c r="G261" s="43" t="s">
        <v>47</v>
      </c>
      <c r="H261" s="39" t="s">
        <v>142</v>
      </c>
      <c r="I261" s="40"/>
      <c r="J261" s="41"/>
      <c r="L261" s="27"/>
      <c r="N261" s="34"/>
      <c r="O261" s="32"/>
      <c r="P261" s="31"/>
      <c r="Q261" s="33"/>
      <c r="R261" s="33"/>
      <c r="S261" s="31"/>
      <c r="U261" s="38" t="s">
        <v>46</v>
      </c>
      <c r="V261" s="58"/>
      <c r="W261" s="41"/>
      <c r="Y261" s="42"/>
      <c r="AA261" s="88"/>
      <c r="AB261" s="88"/>
      <c r="AC261" s="88"/>
      <c r="AD261" s="88"/>
      <c r="AE261" s="88"/>
      <c r="AF261" s="88"/>
      <c r="AG261" s="88"/>
      <c r="AH261" s="88"/>
      <c r="AI261" s="88"/>
      <c r="AJ261" s="88"/>
      <c r="AK261" s="88"/>
      <c r="AL261" s="88"/>
      <c r="AM261" s="88"/>
      <c r="AN261" s="88"/>
      <c r="AO261" s="88"/>
      <c r="AP261" s="88"/>
      <c r="AQ261" s="88"/>
      <c r="AR261" s="88"/>
      <c r="AS261" s="88"/>
      <c r="AT261" s="88"/>
      <c r="AU261" s="88"/>
      <c r="AV261" s="88"/>
      <c r="AW261" s="88"/>
      <c r="AX261" s="88"/>
      <c r="AY261" s="88"/>
      <c r="AZ261" s="88"/>
      <c r="BA261" s="88"/>
      <c r="BB261" s="88"/>
      <c r="BC261" s="88"/>
      <c r="BD261" s="88"/>
      <c r="BE261" s="88"/>
      <c r="BF261" s="88"/>
      <c r="BG261" s="88"/>
      <c r="BH261" s="88"/>
      <c r="BI261" s="88"/>
      <c r="BJ261" s="88"/>
    </row>
    <row r="262" spans="1:62" x14ac:dyDescent="0.3">
      <c r="B262" s="101">
        <f>B147</f>
        <v>40.46</v>
      </c>
      <c r="C262" s="86"/>
      <c r="F262" s="25"/>
      <c r="G262" s="43" t="s">
        <v>50</v>
      </c>
      <c r="H262" s="79">
        <f>C248</f>
        <v>5273</v>
      </c>
      <c r="I262" s="41" t="s">
        <v>51</v>
      </c>
      <c r="J262" s="41"/>
      <c r="L262" s="27"/>
      <c r="N262" s="34"/>
      <c r="O262" s="32"/>
      <c r="P262" s="31"/>
      <c r="Q262" s="33"/>
      <c r="R262" s="33"/>
      <c r="S262" s="31"/>
      <c r="V262" s="30">
        <f>H266/2</f>
        <v>5</v>
      </c>
      <c r="W262" s="30" t="s">
        <v>48</v>
      </c>
      <c r="Y262" s="42"/>
      <c r="Z262" s="30" t="s">
        <v>49</v>
      </c>
      <c r="AC262" s="41"/>
      <c r="AD262" s="88"/>
      <c r="AE262" s="88"/>
      <c r="AF262" s="88"/>
      <c r="AG262" s="88"/>
      <c r="AH262" s="88"/>
      <c r="AI262" s="88"/>
      <c r="AJ262" s="88"/>
      <c r="AK262" s="88"/>
      <c r="AL262" s="88"/>
      <c r="AM262" s="88"/>
      <c r="AN262" s="88"/>
      <c r="AO262" s="88"/>
      <c r="AP262" s="88"/>
      <c r="AQ262" s="88"/>
      <c r="AR262" s="88"/>
      <c r="AS262" s="88"/>
      <c r="AT262" s="88"/>
      <c r="AU262" s="88"/>
      <c r="AV262" s="88"/>
      <c r="AW262" s="88"/>
      <c r="AX262" s="88"/>
      <c r="AY262" s="88"/>
      <c r="AZ262" s="88"/>
      <c r="BA262" s="88"/>
      <c r="BB262" s="88"/>
      <c r="BC262" s="88"/>
      <c r="BD262" s="88"/>
      <c r="BE262" s="88"/>
      <c r="BF262" s="88"/>
      <c r="BG262" s="88"/>
      <c r="BH262" s="88"/>
      <c r="BI262" s="88"/>
      <c r="BJ262" s="88"/>
    </row>
    <row r="263" spans="1:62" x14ac:dyDescent="0.3">
      <c r="B263" s="86"/>
      <c r="C263" s="86"/>
      <c r="G263" s="45" t="s">
        <v>54</v>
      </c>
      <c r="H263" s="94">
        <f>$I$142</f>
        <v>161.69999999999999</v>
      </c>
      <c r="I263" s="30" t="s">
        <v>55</v>
      </c>
      <c r="J263" s="30"/>
      <c r="L263" s="27"/>
      <c r="N263" s="34"/>
      <c r="O263" s="32"/>
      <c r="P263" s="31"/>
      <c r="Q263" s="33"/>
      <c r="R263" s="33"/>
      <c r="S263" s="31"/>
      <c r="U263" s="47" t="s">
        <v>52</v>
      </c>
      <c r="V263" s="92"/>
      <c r="Z263" s="43"/>
      <c r="AA263" s="93">
        <f>$D$84</f>
        <v>0.85</v>
      </c>
      <c r="AB263" s="41" t="s">
        <v>53</v>
      </c>
      <c r="AD263" s="88"/>
      <c r="AE263" s="88"/>
      <c r="AF263" s="88"/>
      <c r="AG263" s="88"/>
      <c r="AH263" s="88"/>
      <c r="AI263" s="88"/>
      <c r="AJ263" s="88"/>
      <c r="AK263" s="88"/>
      <c r="AL263" s="88"/>
      <c r="AM263" s="88"/>
      <c r="AN263" s="88"/>
      <c r="AO263" s="88"/>
      <c r="AP263" s="88"/>
      <c r="AQ263" s="88"/>
      <c r="AR263" s="88"/>
      <c r="AS263" s="88"/>
      <c r="AT263" s="88"/>
      <c r="AU263" s="88"/>
      <c r="AV263" s="88"/>
      <c r="AW263" s="88"/>
      <c r="AX263" s="88"/>
      <c r="AY263" s="88"/>
      <c r="AZ263" s="88"/>
      <c r="BA263" s="88"/>
      <c r="BB263" s="88"/>
      <c r="BC263" s="88"/>
      <c r="BD263" s="88"/>
      <c r="BE263" s="88"/>
      <c r="BF263" s="88"/>
      <c r="BG263" s="88"/>
      <c r="BH263" s="88"/>
      <c r="BI263" s="88"/>
      <c r="BJ263" s="88"/>
    </row>
    <row r="264" spans="1:62" x14ac:dyDescent="0.3">
      <c r="B264" s="90"/>
      <c r="C264" s="90">
        <f>C149</f>
        <v>279.06</v>
      </c>
      <c r="D264" s="27" t="s">
        <v>11</v>
      </c>
      <c r="E264" s="66"/>
      <c r="F264" s="54"/>
      <c r="G264" s="45" t="s">
        <v>47</v>
      </c>
      <c r="H264" s="61">
        <f>4.4*(H262/H263)^0.25</f>
        <v>10.514523944219137</v>
      </c>
      <c r="I264" s="30" t="s">
        <v>57</v>
      </c>
      <c r="J264" s="30"/>
      <c r="L264" s="27"/>
      <c r="N264" s="34"/>
      <c r="O264" s="32"/>
      <c r="P264" s="31"/>
      <c r="Q264" s="33"/>
      <c r="R264" s="33"/>
      <c r="S264" s="31"/>
      <c r="U264" s="43"/>
      <c r="V264" s="83">
        <f>$D$81/12/V262</f>
        <v>0.1277777777777778</v>
      </c>
      <c r="W264" s="41" t="s">
        <v>56</v>
      </c>
      <c r="AD264" s="88"/>
      <c r="AE264" s="88"/>
      <c r="AF264" s="88"/>
      <c r="AG264" s="88"/>
      <c r="AH264" s="88"/>
      <c r="AI264" s="88"/>
      <c r="AJ264" s="88"/>
      <c r="AK264" s="88"/>
      <c r="AL264" s="88"/>
      <c r="AM264" s="88"/>
      <c r="AN264" s="88"/>
      <c r="AO264" s="88"/>
      <c r="AP264" s="88"/>
      <c r="AQ264" s="88"/>
      <c r="AR264" s="88"/>
      <c r="AS264" s="88"/>
      <c r="AT264" s="88"/>
      <c r="AU264" s="88"/>
      <c r="AV264" s="88"/>
      <c r="AW264" s="88"/>
      <c r="AX264" s="88"/>
      <c r="AY264" s="88"/>
      <c r="AZ264" s="88"/>
      <c r="BA264" s="88"/>
      <c r="BB264" s="88"/>
      <c r="BC264" s="88"/>
      <c r="BD264" s="88"/>
      <c r="BE264" s="88"/>
      <c r="BF264" s="88"/>
      <c r="BG264" s="88"/>
      <c r="BH264" s="88"/>
      <c r="BI264" s="88"/>
      <c r="BJ264" s="88"/>
    </row>
    <row r="265" spans="1:62" x14ac:dyDescent="0.3">
      <c r="B265" s="72"/>
      <c r="C265" s="78"/>
      <c r="E265" s="66"/>
      <c r="F265" s="54"/>
      <c r="G265" s="47" t="s">
        <v>59</v>
      </c>
      <c r="H265" s="46"/>
      <c r="I265" s="30"/>
      <c r="J265" s="30"/>
      <c r="L265" s="27"/>
      <c r="N265" s="34"/>
      <c r="O265" s="32"/>
      <c r="P265" s="31"/>
      <c r="Q265" s="33"/>
      <c r="R265" s="33"/>
      <c r="S265" s="31"/>
      <c r="U265" s="30" t="s">
        <v>58</v>
      </c>
      <c r="Z265" s="88"/>
      <c r="AA265" s="88"/>
      <c r="AB265" s="88"/>
      <c r="AC265" s="88"/>
      <c r="AD265" s="88"/>
      <c r="AE265" s="88"/>
      <c r="AF265" s="88"/>
      <c r="AG265" s="88"/>
      <c r="AH265" s="88"/>
      <c r="AI265" s="88"/>
      <c r="AJ265" s="88"/>
      <c r="AK265" s="88"/>
      <c r="AL265" s="88"/>
      <c r="AM265" s="88"/>
      <c r="AN265" s="88"/>
      <c r="AO265" s="88"/>
      <c r="AP265" s="88"/>
      <c r="AQ265" s="88"/>
      <c r="AR265" s="88"/>
      <c r="AS265" s="88"/>
      <c r="AT265" s="88"/>
      <c r="AU265" s="88"/>
      <c r="AV265" s="88"/>
      <c r="AW265" s="88"/>
      <c r="AX265" s="88"/>
      <c r="AY265" s="88"/>
      <c r="AZ265" s="88"/>
      <c r="BA265" s="88"/>
      <c r="BB265" s="88"/>
      <c r="BC265" s="88"/>
      <c r="BD265" s="88"/>
      <c r="BE265" s="88"/>
      <c r="BF265" s="88"/>
      <c r="BG265" s="88"/>
      <c r="BH265" s="88"/>
      <c r="BI265" s="88"/>
      <c r="BJ265" s="88"/>
    </row>
    <row r="266" spans="1:62" x14ac:dyDescent="0.3">
      <c r="B266" s="72"/>
      <c r="C266" s="78"/>
      <c r="E266" s="66"/>
      <c r="F266" s="54"/>
      <c r="G266" s="45" t="s">
        <v>47</v>
      </c>
      <c r="H266" s="60">
        <f>IF(H264&gt;10,10,H264)</f>
        <v>10</v>
      </c>
      <c r="I266" s="30" t="s">
        <v>48</v>
      </c>
      <c r="J266" s="30"/>
      <c r="L266" s="27"/>
      <c r="N266" s="34"/>
      <c r="O266" s="32"/>
      <c r="P266" s="31"/>
      <c r="Q266" s="33"/>
      <c r="R266" s="33"/>
      <c r="S266" s="31"/>
      <c r="V266" s="63">
        <f>(2*($D$81/12-H266*V264))/V264^2</f>
        <v>-78.260869565217391</v>
      </c>
      <c r="W266" s="30" t="s">
        <v>60</v>
      </c>
      <c r="Z266" s="88"/>
      <c r="AA266" s="88"/>
      <c r="AB266" s="88"/>
      <c r="AC266" s="88"/>
      <c r="AD266" s="88"/>
      <c r="AE266" s="88"/>
      <c r="AF266" s="88"/>
      <c r="AG266" s="88"/>
      <c r="AH266" s="88"/>
      <c r="AI266" s="88"/>
      <c r="AJ266" s="88"/>
      <c r="AK266" s="88"/>
      <c r="AL266" s="88"/>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row>
    <row r="267" spans="1:62" x14ac:dyDescent="0.3">
      <c r="B267" s="72"/>
      <c r="C267" s="78"/>
      <c r="E267" s="66"/>
      <c r="F267" s="54"/>
      <c r="G267" s="45" t="s">
        <v>62</v>
      </c>
      <c r="H267" s="64">
        <f>IF(V268/AA263&lt;2.67,2.67,V268/AA263)</f>
        <v>2.8593668091054942</v>
      </c>
      <c r="L267" s="27"/>
      <c r="N267" s="34"/>
      <c r="O267" s="32"/>
      <c r="P267" s="31"/>
      <c r="Q267" s="33"/>
      <c r="R267" s="33"/>
      <c r="S267" s="31"/>
      <c r="U267" s="30" t="s">
        <v>61</v>
      </c>
      <c r="Z267" s="88"/>
      <c r="AA267" s="88"/>
      <c r="AB267" s="88"/>
      <c r="AC267" s="88"/>
      <c r="AD267" s="88"/>
      <c r="AE267" s="88"/>
      <c r="AF267" s="88"/>
      <c r="AG267" s="88"/>
      <c r="AH267" s="88"/>
      <c r="AI267" s="88"/>
      <c r="AJ267" s="88"/>
      <c r="AK267" s="88"/>
      <c r="AL267" s="88"/>
      <c r="AM267" s="88"/>
      <c r="AN267" s="88"/>
      <c r="AO267" s="88"/>
      <c r="AP267" s="88"/>
      <c r="AQ267" s="88"/>
      <c r="AR267" s="88"/>
      <c r="AS267" s="88"/>
      <c r="AT267" s="88"/>
      <c r="AU267" s="88"/>
      <c r="AV267" s="88"/>
      <c r="AW267" s="88"/>
      <c r="AX267" s="88"/>
      <c r="AY267" s="88"/>
      <c r="AZ267" s="88"/>
      <c r="BA267" s="88"/>
      <c r="BB267" s="88"/>
      <c r="BC267" s="88"/>
      <c r="BD267" s="88"/>
      <c r="BE267" s="88"/>
      <c r="BF267" s="88"/>
      <c r="BG267" s="88"/>
      <c r="BH267" s="88"/>
      <c r="BI267" s="88"/>
      <c r="BJ267" s="88"/>
    </row>
    <row r="268" spans="1:62" x14ac:dyDescent="0.3">
      <c r="B268" s="72"/>
      <c r="C268" s="78"/>
      <c r="E268" s="66"/>
      <c r="F268" s="54"/>
      <c r="G268" s="25" t="s">
        <v>64</v>
      </c>
      <c r="H268" s="96">
        <f>IF(H267-0.667&lt;2,2,H267-0.667)</f>
        <v>2.1923668091054944</v>
      </c>
      <c r="L268" s="27"/>
      <c r="N268" s="34"/>
      <c r="O268" s="32"/>
      <c r="P268" s="31"/>
      <c r="Q268" s="33"/>
      <c r="R268" s="33"/>
      <c r="S268" s="31"/>
      <c r="U268" s="45" t="s">
        <v>12</v>
      </c>
      <c r="V268" s="63">
        <f>ABS(V266/32.2)</f>
        <v>2.4304617877396701</v>
      </c>
      <c r="W268" s="30" t="s">
        <v>63</v>
      </c>
      <c r="Z268" s="88"/>
      <c r="AA268" s="88"/>
      <c r="AB268" s="88"/>
      <c r="AC268" s="88"/>
      <c r="AD268" s="88"/>
      <c r="AE268" s="88"/>
      <c r="AF268" s="88"/>
      <c r="AG268" s="88"/>
      <c r="AH268" s="88"/>
      <c r="AI268" s="88"/>
      <c r="AJ268" s="88"/>
      <c r="AK268" s="88"/>
      <c r="AL268" s="88"/>
      <c r="AM268" s="88"/>
      <c r="AN268" s="88"/>
      <c r="AO268" s="88"/>
      <c r="AP268" s="88"/>
      <c r="AQ268" s="88"/>
      <c r="AR268" s="88"/>
      <c r="AS268" s="88"/>
      <c r="AT268" s="88"/>
      <c r="AU268" s="88"/>
      <c r="AV268" s="88"/>
      <c r="AW268" s="88"/>
      <c r="AX268" s="88"/>
      <c r="AY268" s="88"/>
      <c r="AZ268" s="88"/>
      <c r="BA268" s="88"/>
      <c r="BB268" s="88"/>
      <c r="BC268" s="88"/>
      <c r="BD268" s="88"/>
      <c r="BE268" s="88"/>
      <c r="BF268" s="88"/>
      <c r="BG268" s="88"/>
      <c r="BH268" s="88"/>
      <c r="BI268" s="88"/>
      <c r="BJ268" s="88"/>
    </row>
    <row r="269" spans="1:62" x14ac:dyDescent="0.3">
      <c r="B269" s="72"/>
      <c r="C269" s="66"/>
      <c r="D269" s="66"/>
      <c r="E269" s="66"/>
      <c r="F269" s="54"/>
      <c r="L269" s="27"/>
      <c r="N269" s="34"/>
      <c r="O269" s="32"/>
      <c r="P269" s="31"/>
      <c r="Q269" s="33"/>
      <c r="R269" s="33"/>
      <c r="S269" s="31"/>
      <c r="AB269" s="88"/>
      <c r="AC269" s="88"/>
      <c r="AD269" s="88"/>
      <c r="AE269" s="88"/>
      <c r="AF269" s="88"/>
      <c r="AG269" s="88"/>
      <c r="AH269" s="88"/>
      <c r="AI269" s="88"/>
      <c r="AJ269" s="88"/>
      <c r="AK269" s="88"/>
      <c r="AL269" s="88"/>
      <c r="AM269" s="88"/>
      <c r="AN269" s="88"/>
      <c r="AO269" s="88"/>
      <c r="AP269" s="88"/>
      <c r="AQ269" s="88"/>
      <c r="AR269" s="88"/>
      <c r="AS269" s="88"/>
      <c r="AT269" s="88"/>
      <c r="AU269" s="88"/>
      <c r="AV269" s="88"/>
      <c r="AW269" s="88"/>
      <c r="AX269" s="88"/>
      <c r="AY269" s="88"/>
      <c r="AZ269" s="88"/>
      <c r="BA269" s="88"/>
      <c r="BB269" s="88"/>
      <c r="BC269" s="88"/>
      <c r="BD269" s="88"/>
      <c r="BE269" s="88"/>
      <c r="BF269" s="88"/>
      <c r="BG269" s="88"/>
      <c r="BH269" s="88"/>
      <c r="BI269" s="88"/>
      <c r="BJ269" s="88"/>
    </row>
    <row r="270" spans="1:62" x14ac:dyDescent="0.3">
      <c r="A270" s="37"/>
      <c r="B270" s="26" t="s">
        <v>117</v>
      </c>
      <c r="O270" s="32"/>
      <c r="P270" s="31"/>
      <c r="Q270" s="33"/>
      <c r="R270" s="33"/>
      <c r="S270" s="31"/>
      <c r="V270" s="41"/>
      <c r="W270" s="79"/>
      <c r="X270" s="79"/>
      <c r="Y270" s="79"/>
      <c r="Z270" s="79"/>
      <c r="AA270" s="79"/>
      <c r="AB270" s="79"/>
      <c r="AC270" s="79"/>
      <c r="AD270" s="79"/>
      <c r="AE270" s="79"/>
      <c r="AF270" s="79"/>
      <c r="AG270" s="79"/>
      <c r="AH270" s="79"/>
      <c r="AI270" s="79"/>
      <c r="AJ270" s="79"/>
      <c r="AK270" s="79"/>
      <c r="AL270" s="79"/>
      <c r="AM270" s="79"/>
      <c r="AN270" s="79"/>
      <c r="AO270" s="79"/>
      <c r="AP270" s="79"/>
      <c r="AQ270" s="79"/>
      <c r="AR270" s="79"/>
      <c r="AS270" s="79"/>
      <c r="AT270" s="79"/>
      <c r="AU270" s="79"/>
      <c r="AV270" s="79"/>
      <c r="AW270" s="79"/>
      <c r="AX270" s="79"/>
      <c r="AY270" s="79"/>
      <c r="AZ270" s="79"/>
      <c r="BA270" s="79"/>
      <c r="BB270" s="79"/>
      <c r="BC270" s="79"/>
      <c r="BD270" s="79"/>
      <c r="BE270" s="79"/>
      <c r="BF270" s="79"/>
      <c r="BG270" s="79"/>
      <c r="BH270" s="79"/>
      <c r="BI270" s="79"/>
      <c r="BJ270" s="79"/>
    </row>
    <row r="271" spans="1:62" x14ac:dyDescent="0.3">
      <c r="L271" s="27"/>
      <c r="N271" s="34"/>
      <c r="O271" s="32"/>
      <c r="P271" s="31"/>
      <c r="Q271" s="33"/>
      <c r="R271" s="33"/>
      <c r="S271" s="31"/>
      <c r="V271" s="41"/>
      <c r="W271" s="88"/>
      <c r="X271" s="88"/>
      <c r="Y271" s="88"/>
      <c r="Z271" s="88"/>
      <c r="AA271" s="88"/>
      <c r="AB271" s="88"/>
      <c r="AC271" s="88"/>
      <c r="AD271" s="88"/>
      <c r="AE271" s="88"/>
      <c r="AF271" s="88"/>
      <c r="AG271" s="88"/>
      <c r="AH271" s="88"/>
      <c r="AI271" s="88"/>
      <c r="AJ271" s="88"/>
      <c r="AK271" s="88"/>
      <c r="AL271" s="88"/>
      <c r="AM271" s="88"/>
      <c r="AN271" s="88"/>
      <c r="AO271" s="88"/>
      <c r="AP271" s="88"/>
      <c r="AQ271" s="88"/>
      <c r="AR271" s="88"/>
      <c r="AS271" s="88"/>
      <c r="AT271" s="88"/>
      <c r="AU271" s="88"/>
      <c r="AV271" s="88"/>
      <c r="AW271" s="88"/>
      <c r="AX271" s="88"/>
      <c r="AY271" s="88"/>
      <c r="AZ271" s="88"/>
      <c r="BA271" s="88"/>
      <c r="BB271" s="88"/>
      <c r="BC271" s="88"/>
      <c r="BD271" s="88"/>
      <c r="BE271" s="88"/>
      <c r="BF271" s="88"/>
      <c r="BG271" s="88"/>
      <c r="BH271" s="88"/>
      <c r="BI271" s="88"/>
      <c r="BJ271" s="88"/>
    </row>
    <row r="272" spans="1:62" x14ac:dyDescent="0.3">
      <c r="B272" s="25" t="s">
        <v>40</v>
      </c>
      <c r="C272" s="65">
        <f>G161</f>
        <v>8262</v>
      </c>
      <c r="D272" s="65" t="s">
        <v>38</v>
      </c>
      <c r="E272" s="66"/>
      <c r="L272" s="27"/>
      <c r="N272" s="34"/>
      <c r="O272" s="32"/>
      <c r="P272" s="31"/>
      <c r="Q272" s="33"/>
      <c r="R272" s="33"/>
      <c r="S272" s="31"/>
      <c r="V272" s="41"/>
      <c r="W272" s="88"/>
      <c r="X272" s="88"/>
      <c r="Y272" s="88"/>
      <c r="Z272" s="88"/>
      <c r="AA272" s="88"/>
      <c r="AB272" s="88"/>
      <c r="AC272" s="88"/>
      <c r="AD272" s="88"/>
      <c r="AE272" s="88"/>
      <c r="AF272" s="88"/>
      <c r="AG272" s="88"/>
      <c r="AH272" s="88"/>
      <c r="AI272" s="88"/>
      <c r="AJ272" s="88"/>
      <c r="AK272" s="88"/>
      <c r="AL272" s="88"/>
      <c r="AM272" s="88"/>
      <c r="AN272" s="88"/>
      <c r="AO272" s="88"/>
      <c r="AP272" s="88"/>
      <c r="AQ272" s="88"/>
      <c r="AR272" s="88"/>
      <c r="AS272" s="88"/>
      <c r="AT272" s="88"/>
      <c r="AU272" s="88"/>
      <c r="AV272" s="88"/>
      <c r="AW272" s="88"/>
      <c r="AX272" s="88"/>
      <c r="AY272" s="88"/>
      <c r="AZ272" s="88"/>
      <c r="BA272" s="88"/>
      <c r="BB272" s="88"/>
      <c r="BC272" s="88"/>
      <c r="BD272" s="88"/>
      <c r="BE272" s="88"/>
      <c r="BF272" s="88"/>
      <c r="BG272" s="88"/>
      <c r="BH272" s="88"/>
      <c r="BI272" s="88"/>
      <c r="BJ272" s="88"/>
    </row>
    <row r="273" spans="2:62" x14ac:dyDescent="0.3">
      <c r="E273" s="66"/>
      <c r="F273" s="53">
        <f>F191</f>
        <v>18.262889942194128</v>
      </c>
      <c r="L273" s="27"/>
      <c r="N273" s="34"/>
      <c r="O273" s="32"/>
      <c r="P273" s="31"/>
      <c r="Q273" s="33"/>
      <c r="R273" s="33"/>
      <c r="S273" s="31"/>
      <c r="V273" s="41"/>
      <c r="W273" s="88"/>
      <c r="X273" s="88"/>
      <c r="Y273" s="88"/>
      <c r="Z273" s="88"/>
      <c r="AA273" s="88"/>
      <c r="AB273" s="88"/>
      <c r="AC273" s="88"/>
      <c r="AD273" s="88"/>
      <c r="AE273" s="88"/>
      <c r="AF273" s="88"/>
      <c r="AG273" s="88"/>
      <c r="AH273" s="88"/>
      <c r="AI273" s="88"/>
      <c r="AJ273" s="88"/>
      <c r="AK273" s="88"/>
      <c r="AL273" s="88"/>
      <c r="AM273" s="88"/>
      <c r="AN273" s="88"/>
      <c r="AO273" s="88"/>
      <c r="AP273" s="88"/>
      <c r="AQ273" s="88"/>
      <c r="AR273" s="88"/>
      <c r="AS273" s="88"/>
      <c r="AT273" s="88"/>
      <c r="AU273" s="88"/>
      <c r="AV273" s="88"/>
      <c r="AW273" s="88"/>
      <c r="AX273" s="88"/>
      <c r="AY273" s="88"/>
      <c r="AZ273" s="88"/>
      <c r="BA273" s="88"/>
      <c r="BB273" s="88"/>
      <c r="BC273" s="88"/>
      <c r="BD273" s="88"/>
      <c r="BE273" s="88"/>
      <c r="BF273" s="88"/>
      <c r="BG273" s="88"/>
      <c r="BH273" s="88"/>
      <c r="BI273" s="88"/>
      <c r="BJ273" s="88"/>
    </row>
    <row r="274" spans="2:62" x14ac:dyDescent="0.3">
      <c r="B274" s="84"/>
      <c r="C274" s="85">
        <f>G162</f>
        <v>220.32</v>
      </c>
      <c r="D274" s="66" t="s">
        <v>11</v>
      </c>
      <c r="E274" s="66"/>
      <c r="F274" s="27" t="s">
        <v>41</v>
      </c>
      <c r="L274" s="27"/>
      <c r="N274" s="34"/>
      <c r="O274" s="32"/>
      <c r="P274" s="31"/>
      <c r="Q274" s="33"/>
      <c r="R274" s="33"/>
      <c r="S274" s="31"/>
      <c r="V274" s="41"/>
      <c r="W274" s="88"/>
      <c r="X274" s="88"/>
      <c r="Y274" s="88"/>
      <c r="Z274" s="88"/>
      <c r="AA274" s="88"/>
      <c r="AB274" s="88"/>
      <c r="AC274" s="88"/>
      <c r="AD274" s="88"/>
      <c r="AE274" s="88"/>
      <c r="AF274" s="88"/>
      <c r="AG274" s="88"/>
      <c r="AH274" s="88"/>
      <c r="AI274" s="88"/>
      <c r="AJ274" s="88"/>
      <c r="AK274" s="88"/>
      <c r="AL274" s="88"/>
      <c r="AM274" s="88"/>
      <c r="AN274" s="88"/>
      <c r="AO274" s="88"/>
      <c r="AP274" s="88"/>
      <c r="AQ274" s="88"/>
      <c r="AR274" s="88"/>
      <c r="AS274" s="88"/>
      <c r="AT274" s="88"/>
      <c r="AU274" s="88"/>
      <c r="AV274" s="88"/>
      <c r="AW274" s="88"/>
      <c r="AX274" s="88"/>
      <c r="AY274" s="88"/>
      <c r="AZ274" s="88"/>
      <c r="BA274" s="88"/>
      <c r="BB274" s="88"/>
      <c r="BC274" s="88"/>
      <c r="BD274" s="88"/>
      <c r="BE274" s="88"/>
      <c r="BF274" s="88"/>
      <c r="BG274" s="88"/>
      <c r="BH274" s="88"/>
      <c r="BI274" s="88"/>
      <c r="BJ274" s="88"/>
    </row>
    <row r="275" spans="2:62" x14ac:dyDescent="0.3">
      <c r="B275" s="84"/>
      <c r="C275" s="85"/>
      <c r="D275" s="66"/>
      <c r="F275" s="54"/>
      <c r="L275" s="27"/>
      <c r="N275" s="34"/>
      <c r="O275" s="32"/>
      <c r="P275" s="31"/>
      <c r="Q275" s="33"/>
      <c r="R275" s="33"/>
      <c r="S275" s="31"/>
      <c r="V275" s="41"/>
    </row>
    <row r="276" spans="2:62" x14ac:dyDescent="0.3">
      <c r="B276" s="84"/>
      <c r="C276" s="86"/>
      <c r="D276" s="66"/>
      <c r="E276" s="66"/>
      <c r="F276" s="54"/>
      <c r="L276" s="27"/>
      <c r="N276" s="34"/>
      <c r="O276" s="32"/>
      <c r="P276" s="31"/>
      <c r="Q276" s="33"/>
      <c r="R276" s="33"/>
      <c r="S276" s="31"/>
      <c r="V276" s="104"/>
      <c r="W276" s="99"/>
      <c r="X276" s="99"/>
      <c r="Y276" s="99"/>
      <c r="Z276" s="99"/>
      <c r="AA276" s="99"/>
      <c r="AB276" s="99"/>
      <c r="AC276" s="99"/>
      <c r="AD276" s="99"/>
      <c r="AE276" s="99"/>
      <c r="AF276" s="99"/>
      <c r="AG276" s="99"/>
      <c r="AH276" s="99"/>
      <c r="AI276" s="99"/>
      <c r="AJ276" s="99"/>
      <c r="AK276" s="99"/>
      <c r="AL276" s="99"/>
      <c r="AM276" s="99"/>
      <c r="AN276" s="99"/>
      <c r="AO276" s="99"/>
      <c r="AP276" s="99"/>
      <c r="AQ276" s="99"/>
      <c r="AR276" s="99"/>
      <c r="AS276" s="99"/>
      <c r="AT276" s="99"/>
      <c r="AU276" s="99"/>
      <c r="AV276" s="99"/>
      <c r="AW276" s="99"/>
      <c r="AX276" s="99"/>
      <c r="AY276" s="99"/>
      <c r="AZ276" s="99"/>
      <c r="BA276" s="99"/>
      <c r="BB276" s="99"/>
      <c r="BC276" s="99"/>
      <c r="BD276" s="99"/>
      <c r="BE276" s="99"/>
      <c r="BF276" s="99"/>
      <c r="BG276" s="99"/>
      <c r="BH276" s="99"/>
      <c r="BI276" s="99"/>
      <c r="BJ276" s="99"/>
    </row>
    <row r="277" spans="2:62" x14ac:dyDescent="0.3">
      <c r="B277" s="84"/>
      <c r="C277" s="87"/>
      <c r="D277" s="66"/>
      <c r="E277" s="66"/>
      <c r="F277" s="54"/>
      <c r="L277" s="27"/>
      <c r="N277" s="34"/>
      <c r="O277" s="32"/>
      <c r="P277" s="31"/>
      <c r="Q277" s="33"/>
      <c r="R277" s="33"/>
      <c r="S277" s="31"/>
      <c r="V277" s="104"/>
      <c r="W277" s="99"/>
      <c r="X277" s="99"/>
      <c r="Y277" s="99"/>
      <c r="Z277" s="99"/>
      <c r="AA277" s="99"/>
      <c r="AB277" s="99"/>
      <c r="AC277" s="99"/>
      <c r="AD277" s="99"/>
      <c r="AE277" s="99"/>
      <c r="AF277" s="99"/>
      <c r="AG277" s="99"/>
      <c r="AH277" s="99"/>
      <c r="AI277" s="99"/>
      <c r="AJ277" s="99"/>
      <c r="AK277" s="99"/>
      <c r="AL277" s="99"/>
      <c r="AM277" s="99"/>
      <c r="AN277" s="99"/>
      <c r="AO277" s="99"/>
      <c r="AP277" s="99"/>
      <c r="AQ277" s="99"/>
      <c r="AR277" s="99"/>
      <c r="AS277" s="99"/>
      <c r="AT277" s="99"/>
      <c r="AU277" s="99"/>
      <c r="AV277" s="99"/>
      <c r="AW277" s="99"/>
      <c r="AX277" s="99"/>
      <c r="AY277" s="99"/>
      <c r="AZ277" s="99"/>
      <c r="BA277" s="99"/>
      <c r="BB277" s="99"/>
      <c r="BC277" s="99"/>
      <c r="BD277" s="99"/>
      <c r="BE277" s="99"/>
      <c r="BF277" s="99"/>
      <c r="BG277" s="99"/>
      <c r="BH277" s="99"/>
      <c r="BI277" s="99"/>
      <c r="BJ277" s="99"/>
    </row>
    <row r="278" spans="2:62" x14ac:dyDescent="0.3">
      <c r="B278" s="89"/>
      <c r="C278" s="87"/>
      <c r="D278" s="66"/>
      <c r="E278" s="66"/>
      <c r="F278" s="54"/>
      <c r="L278" s="27"/>
      <c r="N278" s="34"/>
      <c r="O278" s="32"/>
      <c r="P278" s="31"/>
      <c r="Q278" s="33"/>
      <c r="R278" s="33"/>
      <c r="S278" s="31"/>
      <c r="V278" s="41"/>
    </row>
    <row r="279" spans="2:62" x14ac:dyDescent="0.3">
      <c r="B279" s="89"/>
      <c r="C279" s="85"/>
      <c r="D279" s="65"/>
      <c r="E279" s="66"/>
      <c r="L279" s="27"/>
      <c r="N279" s="34"/>
      <c r="O279" s="32"/>
      <c r="P279" s="31"/>
      <c r="Q279" s="33"/>
      <c r="R279" s="33"/>
      <c r="S279" s="31"/>
      <c r="V279" s="105"/>
      <c r="W279" s="100"/>
      <c r="X279" s="100"/>
      <c r="Y279" s="100"/>
      <c r="Z279" s="100"/>
      <c r="AA279" s="100"/>
      <c r="AB279" s="100"/>
      <c r="AC279" s="100"/>
      <c r="AD279" s="100"/>
      <c r="AE279" s="100"/>
      <c r="AF279" s="100"/>
      <c r="AG279" s="100"/>
      <c r="AH279" s="100"/>
      <c r="AI279" s="100"/>
      <c r="AJ279" s="100"/>
      <c r="AK279" s="100"/>
      <c r="AL279" s="100"/>
      <c r="AM279" s="100"/>
      <c r="AN279" s="100"/>
      <c r="AO279" s="100"/>
      <c r="AP279" s="100"/>
      <c r="AQ279" s="100"/>
      <c r="AR279" s="100"/>
      <c r="AS279" s="100"/>
      <c r="AT279" s="100"/>
      <c r="AU279" s="100"/>
      <c r="AV279" s="100"/>
      <c r="AW279" s="100"/>
      <c r="AX279" s="100"/>
      <c r="AY279" s="100"/>
      <c r="AZ279" s="100"/>
      <c r="BA279" s="100"/>
      <c r="BB279" s="100"/>
      <c r="BC279" s="100"/>
      <c r="BD279" s="100"/>
      <c r="BE279" s="100"/>
      <c r="BF279" s="100"/>
      <c r="BG279" s="100"/>
      <c r="BH279" s="100"/>
      <c r="BI279" s="100"/>
      <c r="BJ279" s="100"/>
    </row>
    <row r="280" spans="2:62" x14ac:dyDescent="0.3">
      <c r="B280" s="84"/>
      <c r="C280" s="87"/>
      <c r="D280" s="65"/>
      <c r="E280" s="66"/>
      <c r="F280" s="86">
        <v>49.398658985723891</v>
      </c>
      <c r="G280" s="27" t="s">
        <v>11</v>
      </c>
      <c r="L280" s="27"/>
      <c r="N280" s="34"/>
      <c r="O280" s="32"/>
      <c r="P280" s="31"/>
      <c r="Q280" s="33"/>
      <c r="R280" s="33"/>
      <c r="S280" s="31"/>
      <c r="V280" s="41"/>
    </row>
    <row r="281" spans="2:62" x14ac:dyDescent="0.3">
      <c r="B281" s="86"/>
      <c r="C281" s="86"/>
      <c r="H281" s="25" t="s">
        <v>42</v>
      </c>
      <c r="I281" s="50">
        <f>I283-I282</f>
        <v>179.99449682269147</v>
      </c>
      <c r="J281" s="27" t="s">
        <v>11</v>
      </c>
      <c r="L281" s="27"/>
      <c r="N281" s="34"/>
      <c r="O281" s="32"/>
      <c r="P281" s="31"/>
      <c r="Q281" s="33"/>
      <c r="R281" s="33"/>
      <c r="S281" s="31"/>
    </row>
    <row r="282" spans="2:62" x14ac:dyDescent="0.3">
      <c r="B282" s="90"/>
      <c r="C282" s="85"/>
      <c r="D282" s="66"/>
      <c r="H282" s="25" t="s">
        <v>43</v>
      </c>
      <c r="I282" s="50">
        <f>SIN((ATAN((C288-C274)/F280))+RADIANS(F273))*(F280^2+(C288-C274)^2)^0.5</f>
        <v>71.261612842327409</v>
      </c>
      <c r="J282" s="50" t="s">
        <v>11</v>
      </c>
      <c r="L282" s="27"/>
      <c r="N282" s="34"/>
      <c r="O282" s="32"/>
      <c r="P282" s="31"/>
      <c r="Q282" s="33"/>
      <c r="R282" s="33"/>
      <c r="S282" s="31"/>
    </row>
    <row r="283" spans="2:62" x14ac:dyDescent="0.3">
      <c r="B283" s="86"/>
      <c r="C283" s="87"/>
      <c r="D283" s="66"/>
      <c r="F283" s="54"/>
      <c r="H283" s="25" t="s">
        <v>44</v>
      </c>
      <c r="I283" s="50">
        <f>(C288-B286)/COS(RADIANS(F273))</f>
        <v>251.25610966501887</v>
      </c>
      <c r="J283" s="27" t="s">
        <v>11</v>
      </c>
      <c r="L283" s="27"/>
      <c r="N283" s="34"/>
      <c r="O283" s="32"/>
      <c r="P283" s="31"/>
      <c r="Q283" s="33"/>
      <c r="R283" s="33"/>
      <c r="S283" s="31"/>
    </row>
    <row r="284" spans="2:62" x14ac:dyDescent="0.3">
      <c r="B284" s="86"/>
      <c r="C284" s="87"/>
      <c r="F284" s="54"/>
      <c r="G284" s="38" t="s">
        <v>45</v>
      </c>
      <c r="H284" s="41"/>
      <c r="I284" s="41"/>
      <c r="J284" s="41"/>
      <c r="L284" s="27"/>
      <c r="N284" s="34"/>
      <c r="O284" s="32"/>
      <c r="P284" s="31"/>
      <c r="Q284" s="33"/>
      <c r="R284" s="33"/>
      <c r="S284" s="31"/>
    </row>
    <row r="285" spans="2:62" ht="15" x14ac:dyDescent="0.3">
      <c r="B285" s="86"/>
      <c r="C285" s="87"/>
      <c r="D285" s="71"/>
      <c r="F285" s="54"/>
      <c r="G285" s="43" t="s">
        <v>47</v>
      </c>
      <c r="H285" s="39" t="s">
        <v>142</v>
      </c>
      <c r="I285" s="40"/>
      <c r="J285" s="41"/>
      <c r="L285" s="27"/>
      <c r="N285" s="34"/>
      <c r="O285" s="32"/>
      <c r="P285" s="31"/>
      <c r="Q285" s="33"/>
      <c r="R285" s="33"/>
      <c r="S285" s="31"/>
    </row>
    <row r="286" spans="2:62" x14ac:dyDescent="0.3">
      <c r="B286" s="101">
        <f>B147</f>
        <v>40.46</v>
      </c>
      <c r="C286" s="86"/>
      <c r="F286" s="25"/>
      <c r="G286" s="43" t="s">
        <v>50</v>
      </c>
      <c r="H286" s="79">
        <v>7084.5024999999996</v>
      </c>
      <c r="I286" s="41" t="s">
        <v>51</v>
      </c>
      <c r="J286" s="41"/>
      <c r="L286" s="27"/>
      <c r="N286" s="34"/>
      <c r="O286" s="32"/>
      <c r="P286" s="31"/>
      <c r="Q286" s="33"/>
      <c r="R286" s="33"/>
      <c r="S286" s="31"/>
      <c r="U286" s="38" t="s">
        <v>46</v>
      </c>
      <c r="V286" s="58"/>
      <c r="W286" s="41"/>
      <c r="Y286" s="42"/>
      <c r="AA286" s="88"/>
      <c r="AB286" s="88"/>
      <c r="AC286" s="88"/>
      <c r="AD286" s="88"/>
      <c r="AE286" s="88"/>
      <c r="AF286" s="88"/>
    </row>
    <row r="287" spans="2:62" x14ac:dyDescent="0.3">
      <c r="B287" s="86"/>
      <c r="C287" s="86"/>
      <c r="G287" s="45" t="s">
        <v>54</v>
      </c>
      <c r="H287" s="94">
        <f>$I$142</f>
        <v>161.69999999999999</v>
      </c>
      <c r="I287" s="30" t="s">
        <v>55</v>
      </c>
      <c r="J287" s="30"/>
      <c r="L287" s="27"/>
      <c r="N287" s="34"/>
      <c r="O287" s="32"/>
      <c r="P287" s="31"/>
      <c r="Q287" s="33"/>
      <c r="R287" s="33"/>
      <c r="S287" s="31"/>
      <c r="V287" s="30">
        <f>H290/2</f>
        <v>5</v>
      </c>
      <c r="W287" s="30" t="s">
        <v>48</v>
      </c>
      <c r="Y287" s="42"/>
      <c r="Z287" s="30" t="s">
        <v>49</v>
      </c>
      <c r="AC287" s="41"/>
      <c r="AD287" s="88"/>
      <c r="AE287" s="88"/>
      <c r="AF287" s="88"/>
    </row>
    <row r="288" spans="2:62" x14ac:dyDescent="0.3">
      <c r="B288" s="90"/>
      <c r="C288" s="90">
        <f>C149</f>
        <v>279.06</v>
      </c>
      <c r="D288" s="27" t="s">
        <v>11</v>
      </c>
      <c r="E288" s="66"/>
      <c r="F288" s="54"/>
      <c r="G288" s="45" t="s">
        <v>47</v>
      </c>
      <c r="H288" s="61">
        <f>4.4*(H286/H287)^0.25</f>
        <v>11.320158585540453</v>
      </c>
      <c r="I288" s="30" t="s">
        <v>57</v>
      </c>
      <c r="J288" s="30"/>
      <c r="L288" s="27"/>
      <c r="N288" s="34"/>
      <c r="O288" s="32"/>
      <c r="P288" s="31"/>
      <c r="Q288" s="33"/>
      <c r="R288" s="33"/>
      <c r="S288" s="31"/>
      <c r="U288" s="47" t="s">
        <v>52</v>
      </c>
      <c r="V288" s="92"/>
      <c r="Z288" s="43"/>
      <c r="AA288" s="93">
        <f>$D$84</f>
        <v>0.85</v>
      </c>
      <c r="AB288" s="41" t="s">
        <v>53</v>
      </c>
      <c r="AD288" s="88"/>
      <c r="AE288" s="88"/>
      <c r="AF288" s="88"/>
    </row>
    <row r="289" spans="1:32" x14ac:dyDescent="0.3">
      <c r="B289" s="72"/>
      <c r="C289" s="66"/>
      <c r="D289" s="66"/>
      <c r="E289" s="66"/>
      <c r="F289" s="54"/>
      <c r="G289" s="47" t="s">
        <v>59</v>
      </c>
      <c r="H289" s="46"/>
      <c r="I289" s="30"/>
      <c r="J289" s="30"/>
      <c r="L289" s="27"/>
      <c r="N289" s="34"/>
      <c r="O289" s="32"/>
      <c r="P289" s="31"/>
      <c r="Q289" s="33"/>
      <c r="R289" s="33"/>
      <c r="S289" s="31"/>
      <c r="U289" s="43"/>
      <c r="V289" s="83">
        <f>$D$81/12/V287</f>
        <v>0.1277777777777778</v>
      </c>
      <c r="W289" s="41" t="s">
        <v>56</v>
      </c>
      <c r="AD289" s="88"/>
      <c r="AE289" s="88"/>
      <c r="AF289" s="88"/>
    </row>
    <row r="290" spans="1:32" x14ac:dyDescent="0.3">
      <c r="F290" s="54"/>
      <c r="G290" s="45" t="s">
        <v>47</v>
      </c>
      <c r="H290" s="60">
        <f>IF(H288&gt;10,10,H288)</f>
        <v>10</v>
      </c>
      <c r="I290" s="30" t="s">
        <v>48</v>
      </c>
      <c r="J290" s="30"/>
      <c r="L290" s="27"/>
      <c r="N290" s="34"/>
      <c r="O290" s="32"/>
      <c r="P290" s="31"/>
      <c r="Q290" s="33"/>
      <c r="R290" s="33"/>
      <c r="S290" s="31"/>
      <c r="U290" s="30" t="s">
        <v>58</v>
      </c>
      <c r="Z290" s="88"/>
      <c r="AA290" s="88"/>
      <c r="AB290" s="88"/>
      <c r="AC290" s="88"/>
      <c r="AD290" s="88"/>
      <c r="AE290" s="88"/>
      <c r="AF290" s="88"/>
    </row>
    <row r="291" spans="1:32" x14ac:dyDescent="0.3">
      <c r="F291" s="54"/>
      <c r="G291" s="45" t="s">
        <v>62</v>
      </c>
      <c r="H291" s="64">
        <f>IF(V293/AA288&lt;2.67,2.67,V293/AA288)</f>
        <v>2.8593668091054942</v>
      </c>
      <c r="L291" s="27"/>
      <c r="N291" s="34"/>
      <c r="O291" s="32"/>
      <c r="P291" s="31"/>
      <c r="Q291" s="33"/>
      <c r="R291" s="33"/>
      <c r="S291" s="31"/>
      <c r="V291" s="63">
        <f>(2*($D$81/12-H290*V289))/V289^2</f>
        <v>-78.260869565217391</v>
      </c>
      <c r="W291" s="30" t="s">
        <v>60</v>
      </c>
      <c r="Z291" s="88"/>
      <c r="AA291" s="88"/>
      <c r="AB291" s="88"/>
      <c r="AC291" s="88"/>
      <c r="AD291" s="88"/>
      <c r="AE291" s="88"/>
      <c r="AF291" s="88"/>
    </row>
    <row r="292" spans="1:32" x14ac:dyDescent="0.3">
      <c r="A292" s="45"/>
      <c r="B292" s="30"/>
      <c r="C292" s="30"/>
      <c r="D292" s="30"/>
      <c r="E292" s="30"/>
      <c r="F292" s="30"/>
      <c r="G292" s="25" t="s">
        <v>64</v>
      </c>
      <c r="H292" s="96">
        <f>IF(H291-0.667&lt;2,2,H291-0.667)</f>
        <v>2.1923668091054944</v>
      </c>
      <c r="L292" s="27"/>
      <c r="N292" s="34"/>
      <c r="O292" s="32"/>
      <c r="P292" s="31"/>
      <c r="Q292" s="33"/>
      <c r="R292" s="33"/>
      <c r="S292" s="31"/>
      <c r="U292" s="30" t="s">
        <v>61</v>
      </c>
      <c r="Z292" s="88"/>
      <c r="AA292" s="88"/>
      <c r="AB292" s="88"/>
      <c r="AC292" s="88"/>
      <c r="AD292" s="88"/>
      <c r="AE292" s="88"/>
      <c r="AF292" s="88"/>
    </row>
    <row r="293" spans="1:32" x14ac:dyDescent="0.3">
      <c r="A293" s="190"/>
      <c r="B293" s="193"/>
      <c r="C293" s="195"/>
      <c r="D293" s="190"/>
      <c r="E293" s="190"/>
      <c r="F293" s="190"/>
      <c r="G293" s="195"/>
      <c r="H293" s="190"/>
      <c r="I293" s="190"/>
      <c r="J293" s="190"/>
      <c r="K293" s="190"/>
      <c r="L293" s="27"/>
      <c r="N293" s="34"/>
      <c r="O293" s="32"/>
      <c r="P293" s="31"/>
      <c r="Q293" s="33"/>
      <c r="R293" s="33"/>
      <c r="S293" s="31"/>
      <c r="U293" s="45" t="s">
        <v>12</v>
      </c>
      <c r="V293" s="63">
        <f>ABS(V291/32.2)</f>
        <v>2.4304617877396701</v>
      </c>
      <c r="W293" s="30" t="s">
        <v>63</v>
      </c>
      <c r="Z293" s="88"/>
      <c r="AA293" s="88"/>
      <c r="AB293" s="88"/>
      <c r="AC293" s="88"/>
      <c r="AD293" s="88"/>
      <c r="AE293" s="88"/>
      <c r="AF293" s="88"/>
    </row>
    <row r="294" spans="1:32" x14ac:dyDescent="0.3">
      <c r="A294" s="190"/>
      <c r="B294" s="196"/>
      <c r="C294" s="195"/>
      <c r="D294" s="197"/>
      <c r="E294" s="197"/>
      <c r="F294" s="198" t="s">
        <v>159</v>
      </c>
      <c r="G294" s="195"/>
      <c r="H294" s="197"/>
      <c r="I294" s="197"/>
      <c r="J294" s="197"/>
      <c r="K294" s="190"/>
      <c r="L294" s="27"/>
      <c r="N294" s="34"/>
      <c r="O294" s="32"/>
      <c r="P294" s="31"/>
      <c r="Q294" s="33"/>
      <c r="R294" s="33"/>
      <c r="S294" s="31"/>
      <c r="AB294" s="88"/>
      <c r="AC294" s="88"/>
      <c r="AD294" s="88"/>
      <c r="AE294" s="88"/>
      <c r="AF294" s="88"/>
    </row>
    <row r="295" spans="1:32" x14ac:dyDescent="0.3">
      <c r="A295" s="190"/>
      <c r="B295" s="197"/>
      <c r="C295" s="197"/>
      <c r="D295" s="197"/>
      <c r="E295" s="197"/>
      <c r="F295" s="199" t="s">
        <v>160</v>
      </c>
      <c r="G295" s="197"/>
      <c r="H295" s="197"/>
      <c r="I295" s="197"/>
      <c r="J295" s="197"/>
      <c r="K295" s="190"/>
      <c r="L295" s="27"/>
      <c r="N295" s="34"/>
      <c r="O295" s="32"/>
      <c r="P295" s="31"/>
      <c r="Q295" s="33"/>
      <c r="R295" s="33"/>
      <c r="S295" s="31"/>
      <c r="AB295" s="88"/>
      <c r="AC295" s="88"/>
      <c r="AD295" s="88"/>
      <c r="AE295" s="88"/>
      <c r="AF295" s="88"/>
    </row>
    <row r="296" spans="1:32" x14ac:dyDescent="0.3">
      <c r="A296" s="14"/>
      <c r="B296" s="5"/>
      <c r="C296" s="5"/>
      <c r="D296" s="5"/>
      <c r="E296" s="7" t="s">
        <v>1</v>
      </c>
      <c r="F296" s="8" t="str">
        <f>$C$1</f>
        <v>R. Abbott</v>
      </c>
      <c r="G296" s="5"/>
      <c r="H296" s="15"/>
      <c r="I296" s="7" t="s">
        <v>8</v>
      </c>
      <c r="J296" s="16" t="str">
        <f>$G$2</f>
        <v>AA-SM-503</v>
      </c>
      <c r="K296" s="17"/>
      <c r="L296" s="18"/>
      <c r="M296" s="9"/>
      <c r="N296" s="9"/>
      <c r="O296" s="9"/>
      <c r="P296" s="9"/>
      <c r="Q296" s="33"/>
      <c r="R296" s="33"/>
      <c r="S296" s="31"/>
      <c r="AB296" s="88"/>
      <c r="AC296" s="88"/>
      <c r="AD296" s="88"/>
      <c r="AE296" s="88"/>
      <c r="AF296" s="88"/>
    </row>
    <row r="297" spans="1:32" x14ac:dyDescent="0.3">
      <c r="A297" s="5"/>
      <c r="B297" s="5"/>
      <c r="C297" s="5"/>
      <c r="D297" s="5"/>
      <c r="E297" s="7" t="s">
        <v>2</v>
      </c>
      <c r="F297" s="15" t="str">
        <f>$C$2</f>
        <v xml:space="preserve"> </v>
      </c>
      <c r="G297" s="5"/>
      <c r="H297" s="15"/>
      <c r="I297" s="7" t="s">
        <v>9</v>
      </c>
      <c r="J297" s="17" t="str">
        <f>$G$3</f>
        <v>IR</v>
      </c>
      <c r="K297" s="17"/>
      <c r="L297" s="18"/>
      <c r="M297" s="9">
        <v>1</v>
      </c>
      <c r="N297" s="9"/>
      <c r="O297" s="9"/>
      <c r="P297" s="9"/>
      <c r="Q297" s="33"/>
      <c r="R297" s="33"/>
      <c r="S297" s="31"/>
    </row>
    <row r="298" spans="1:32" x14ac:dyDescent="0.3">
      <c r="A298" s="5"/>
      <c r="B298" s="5"/>
      <c r="C298" s="5"/>
      <c r="D298" s="5"/>
      <c r="E298" s="7" t="s">
        <v>3</v>
      </c>
      <c r="F298" s="15" t="str">
        <f>$C$3</f>
        <v>20/10/2013</v>
      </c>
      <c r="G298" s="5"/>
      <c r="H298" s="15"/>
      <c r="I298" s="7" t="s">
        <v>6</v>
      </c>
      <c r="J298" s="8" t="str">
        <f>L298&amp;" of "&amp;$G$1</f>
        <v>6 of 15</v>
      </c>
      <c r="K298" s="15"/>
      <c r="L298" s="18">
        <f>SUM($M$1:M297)</f>
        <v>6</v>
      </c>
      <c r="M298" s="9"/>
      <c r="N298" s="9"/>
      <c r="O298" s="9"/>
      <c r="P298" s="9"/>
      <c r="Q298" s="33"/>
      <c r="R298" s="33"/>
      <c r="S298" s="31"/>
    </row>
    <row r="299" spans="1:32" x14ac:dyDescent="0.3">
      <c r="E299" s="7" t="s">
        <v>131</v>
      </c>
      <c r="F299" s="15" t="str">
        <f>$C$5</f>
        <v>STANDARD SPREADSHEET METHOD</v>
      </c>
      <c r="G299" s="5"/>
      <c r="H299" s="5"/>
      <c r="I299" s="19"/>
      <c r="J299" s="8"/>
      <c r="K299" s="5"/>
      <c r="L299" s="5"/>
      <c r="M299" s="9"/>
      <c r="N299" s="9"/>
      <c r="O299" s="9"/>
      <c r="P299" s="9"/>
      <c r="Q299" s="33"/>
      <c r="R299" s="33"/>
      <c r="S299" s="31"/>
    </row>
    <row r="300" spans="1:32" ht="15.6" x14ac:dyDescent="0.3">
      <c r="A300" s="190"/>
      <c r="B300" s="21" t="str">
        <f>$G$4</f>
        <v>SIMPLE LANDING GEAR LOADS</v>
      </c>
      <c r="C300" s="190"/>
      <c r="D300" s="190"/>
      <c r="E300" s="190"/>
      <c r="F300" s="190"/>
      <c r="G300" s="190"/>
      <c r="H300" s="190"/>
      <c r="I300" s="190"/>
      <c r="J300" s="190"/>
      <c r="K300" s="190"/>
      <c r="L300" s="191"/>
      <c r="M300" s="192"/>
      <c r="N300" s="192"/>
      <c r="O300" s="192"/>
      <c r="P300" s="192"/>
      <c r="Q300" s="33"/>
      <c r="R300" s="33"/>
      <c r="S300" s="31"/>
    </row>
    <row r="301" spans="1:32" x14ac:dyDescent="0.3">
      <c r="A301" s="37"/>
      <c r="B301" s="26" t="s">
        <v>65</v>
      </c>
      <c r="O301" s="32"/>
      <c r="P301" s="31"/>
      <c r="Q301" s="33"/>
      <c r="R301" s="33"/>
      <c r="S301" s="31"/>
    </row>
    <row r="302" spans="1:32" x14ac:dyDescent="0.3">
      <c r="F302" s="54"/>
      <c r="G302" s="54"/>
      <c r="O302" s="32"/>
      <c r="P302" s="31"/>
      <c r="Q302" s="33"/>
      <c r="R302" s="33"/>
      <c r="S302" s="31"/>
    </row>
    <row r="303" spans="1:32" x14ac:dyDescent="0.3">
      <c r="A303" s="37"/>
      <c r="B303" s="26" t="s">
        <v>66</v>
      </c>
      <c r="O303" s="32"/>
      <c r="P303" s="31"/>
      <c r="Q303" s="33"/>
      <c r="R303" s="33"/>
      <c r="S303" s="31"/>
    </row>
    <row r="304" spans="1:32" x14ac:dyDescent="0.3">
      <c r="C304" s="25"/>
      <c r="L304" s="27"/>
      <c r="N304" s="34"/>
      <c r="O304" s="32"/>
      <c r="P304" s="31"/>
      <c r="Q304" s="33"/>
      <c r="R304" s="33"/>
      <c r="S304" s="31"/>
    </row>
    <row r="305" spans="1:31" x14ac:dyDescent="0.3">
      <c r="A305" s="30"/>
      <c r="B305" s="30"/>
      <c r="C305" s="30"/>
      <c r="D305" s="45" t="s">
        <v>67</v>
      </c>
      <c r="E305" s="63" t="s">
        <v>68</v>
      </c>
      <c r="F305" s="30"/>
      <c r="G305" s="30"/>
      <c r="H305" s="30"/>
      <c r="L305" s="27"/>
      <c r="N305" s="34"/>
      <c r="O305" s="32"/>
      <c r="P305" s="31"/>
      <c r="Q305" s="33"/>
      <c r="R305" s="33"/>
      <c r="S305" s="31"/>
    </row>
    <row r="306" spans="1:31" x14ac:dyDescent="0.3">
      <c r="A306" s="30"/>
      <c r="B306" s="43"/>
      <c r="C306" s="106"/>
      <c r="D306" s="43" t="s">
        <v>69</v>
      </c>
      <c r="E306" s="41">
        <v>25</v>
      </c>
      <c r="F306" s="30" t="s">
        <v>70</v>
      </c>
      <c r="G306" s="30"/>
      <c r="H306" s="30"/>
      <c r="L306" s="27"/>
      <c r="N306" s="34"/>
      <c r="O306" s="32"/>
      <c r="P306" s="31"/>
      <c r="Q306" s="33"/>
      <c r="R306" s="33"/>
      <c r="S306" s="31"/>
    </row>
    <row r="307" spans="1:31" x14ac:dyDescent="0.3">
      <c r="A307" s="30"/>
      <c r="B307" s="107"/>
      <c r="C307" s="58"/>
      <c r="D307" s="107" t="s">
        <v>71</v>
      </c>
      <c r="E307" s="41">
        <v>0</v>
      </c>
      <c r="F307" s="30" t="s">
        <v>11</v>
      </c>
      <c r="G307" s="30"/>
      <c r="H307" s="30"/>
      <c r="L307" s="27"/>
      <c r="N307" s="34"/>
      <c r="O307" s="32"/>
      <c r="P307" s="31"/>
      <c r="Q307" s="33"/>
      <c r="R307" s="33"/>
      <c r="S307" s="31"/>
    </row>
    <row r="308" spans="1:31" x14ac:dyDescent="0.3">
      <c r="A308" s="30"/>
      <c r="B308" s="30"/>
      <c r="C308" s="30"/>
      <c r="D308" s="45" t="s">
        <v>24</v>
      </c>
      <c r="E308" s="108">
        <v>0.66700000000000004</v>
      </c>
      <c r="F308" s="30"/>
      <c r="G308" s="30"/>
      <c r="H308" s="30"/>
      <c r="L308" s="27"/>
      <c r="N308" s="34"/>
      <c r="O308" s="32"/>
      <c r="P308" s="31"/>
      <c r="Q308" s="33"/>
      <c r="R308" s="33"/>
      <c r="S308" s="31"/>
    </row>
    <row r="309" spans="1:31" x14ac:dyDescent="0.3">
      <c r="A309" s="30"/>
      <c r="B309" s="43"/>
      <c r="C309" s="93"/>
      <c r="D309" s="45" t="s">
        <v>72</v>
      </c>
      <c r="E309" s="30">
        <v>0.33</v>
      </c>
      <c r="F309" s="30" t="s">
        <v>73</v>
      </c>
      <c r="G309" s="30"/>
      <c r="H309" s="30"/>
      <c r="I309" s="30"/>
      <c r="L309" s="27"/>
      <c r="N309" s="34"/>
      <c r="O309" s="32"/>
      <c r="P309" s="31"/>
      <c r="Q309" s="33"/>
      <c r="R309" s="33"/>
      <c r="S309" s="31"/>
    </row>
    <row r="310" spans="1:31" x14ac:dyDescent="0.3">
      <c r="A310" s="30"/>
      <c r="B310" s="30"/>
      <c r="C310" s="30"/>
      <c r="D310" s="30"/>
      <c r="E310" s="30"/>
      <c r="F310" s="30"/>
      <c r="G310" s="30"/>
      <c r="H310" s="30"/>
      <c r="I310" s="30"/>
      <c r="J310" s="30"/>
      <c r="K310" s="30"/>
      <c r="L310" s="27"/>
      <c r="N310" s="34"/>
      <c r="O310" s="32"/>
      <c r="P310" s="31"/>
      <c r="Q310" s="33"/>
      <c r="R310" s="33"/>
      <c r="S310" s="31"/>
    </row>
    <row r="311" spans="1:31" x14ac:dyDescent="0.3">
      <c r="A311" s="37"/>
      <c r="B311" s="49" t="str">
        <f>B187</f>
        <v>Max Forward CG Case</v>
      </c>
      <c r="C311" s="30"/>
      <c r="D311" s="30"/>
      <c r="E311" s="30"/>
      <c r="F311" s="30"/>
      <c r="G311" s="30"/>
      <c r="H311" s="30"/>
      <c r="I311" s="30"/>
      <c r="J311" s="30"/>
      <c r="K311" s="30"/>
      <c r="L311" s="27"/>
      <c r="N311" s="34"/>
      <c r="O311" s="32"/>
      <c r="P311" s="31"/>
      <c r="Q311" s="33"/>
      <c r="R311" s="33"/>
      <c r="S311" s="31"/>
      <c r="X311" s="56"/>
      <c r="Y311" s="109"/>
      <c r="Z311" s="109"/>
      <c r="AC311" s="56"/>
      <c r="AD311" s="109"/>
      <c r="AE311" s="109"/>
    </row>
    <row r="312" spans="1:31" x14ac:dyDescent="0.3">
      <c r="A312" s="30"/>
      <c r="B312" s="30"/>
      <c r="C312" s="30"/>
      <c r="D312" s="30"/>
      <c r="E312" s="30"/>
      <c r="F312" s="30"/>
      <c r="G312" s="30"/>
      <c r="H312" s="30"/>
      <c r="I312" s="30"/>
      <c r="J312" s="30"/>
      <c r="K312" s="30"/>
      <c r="L312" s="27"/>
      <c r="N312" s="34"/>
      <c r="O312" s="32"/>
      <c r="P312" s="31"/>
      <c r="Q312" s="33"/>
      <c r="R312" s="33"/>
      <c r="S312" s="31"/>
      <c r="W312" s="110"/>
      <c r="X312" s="111"/>
      <c r="Y312" s="109"/>
      <c r="Z312" s="112"/>
      <c r="AB312" s="110"/>
      <c r="AC312" s="111"/>
      <c r="AD312" s="109"/>
      <c r="AE312" s="112"/>
    </row>
    <row r="313" spans="1:31" ht="15" x14ac:dyDescent="0.35">
      <c r="A313" s="30"/>
      <c r="B313" s="30"/>
      <c r="C313" s="30"/>
      <c r="D313" s="25" t="s">
        <v>139</v>
      </c>
      <c r="E313" s="88">
        <f>H211*C190*I199/I201</f>
        <v>10764.345239666405</v>
      </c>
      <c r="F313" s="30" t="s">
        <v>38</v>
      </c>
      <c r="G313" s="30"/>
      <c r="H313" s="30"/>
      <c r="I313" s="30"/>
      <c r="J313" s="30"/>
      <c r="K313" s="30"/>
      <c r="L313" s="27"/>
      <c r="N313" s="34"/>
      <c r="O313" s="32"/>
      <c r="P313" s="31"/>
      <c r="Q313" s="33"/>
      <c r="R313" s="33"/>
      <c r="S313" s="31"/>
      <c r="W313" s="41"/>
      <c r="X313" s="113"/>
      <c r="Y313" s="56"/>
      <c r="Z313" s="109"/>
      <c r="AB313" s="41"/>
      <c r="AC313" s="113"/>
      <c r="AD313" s="56"/>
      <c r="AE313" s="109"/>
    </row>
    <row r="314" spans="1:31" ht="15" x14ac:dyDescent="0.35">
      <c r="A314" s="30"/>
      <c r="B314" s="30"/>
      <c r="C314" s="30"/>
      <c r="D314" s="25" t="s">
        <v>143</v>
      </c>
      <c r="E314" s="88">
        <f>E313/2</f>
        <v>5382.1726198332026</v>
      </c>
      <c r="F314" s="30" t="s">
        <v>38</v>
      </c>
      <c r="G314" s="30"/>
      <c r="H314" s="30"/>
      <c r="I314" s="30"/>
      <c r="J314" s="30"/>
      <c r="K314" s="30"/>
      <c r="L314" s="27"/>
      <c r="N314" s="34"/>
      <c r="O314" s="32"/>
      <c r="P314" s="31"/>
      <c r="Q314" s="33"/>
      <c r="R314" s="33"/>
      <c r="S314" s="31"/>
      <c r="W314" s="114"/>
      <c r="X314" s="115"/>
      <c r="Y314" s="112"/>
      <c r="Z314" s="109"/>
      <c r="AB314" s="114"/>
      <c r="AC314" s="115"/>
      <c r="AD314" s="112"/>
      <c r="AE314" s="109"/>
    </row>
    <row r="315" spans="1:31" ht="15" x14ac:dyDescent="0.35">
      <c r="A315" s="30"/>
      <c r="B315" s="30"/>
      <c r="C315" s="45"/>
      <c r="D315" s="25" t="s">
        <v>144</v>
      </c>
      <c r="E315" s="116">
        <f>$E$309*H210*C190*I199/I201</f>
        <v>4632.9563797594183</v>
      </c>
      <c r="F315" s="30" t="s">
        <v>38</v>
      </c>
      <c r="G315" s="30"/>
      <c r="H315" s="30"/>
      <c r="I315" s="30"/>
      <c r="J315" s="30"/>
      <c r="K315" s="30"/>
      <c r="L315" s="27"/>
      <c r="N315" s="34"/>
      <c r="O315" s="32"/>
      <c r="P315" s="31"/>
      <c r="Q315" s="33"/>
      <c r="R315" s="33"/>
      <c r="S315" s="31"/>
      <c r="X315" s="56"/>
      <c r="Y315" s="56"/>
      <c r="Z315" s="56"/>
      <c r="AC315" s="56"/>
      <c r="AD315" s="56"/>
      <c r="AE315" s="56"/>
    </row>
    <row r="316" spans="1:31" ht="15" x14ac:dyDescent="0.35">
      <c r="A316" s="30"/>
      <c r="B316" s="30"/>
      <c r="C316" s="45"/>
      <c r="D316" s="25" t="s">
        <v>145</v>
      </c>
      <c r="E316" s="116">
        <f>E315/2</f>
        <v>2316.4781898797091</v>
      </c>
      <c r="F316" s="30" t="s">
        <v>38</v>
      </c>
      <c r="G316" s="30"/>
      <c r="H316" s="30"/>
      <c r="I316" s="30"/>
      <c r="J316" s="30"/>
      <c r="K316" s="30"/>
      <c r="O316" s="32"/>
      <c r="P316" s="31"/>
      <c r="Q316" s="33"/>
      <c r="R316" s="33"/>
      <c r="S316" s="31"/>
      <c r="W316" s="45"/>
      <c r="X316" s="56"/>
      <c r="Y316" s="56"/>
      <c r="Z316" s="56"/>
      <c r="AB316" s="45"/>
      <c r="AC316" s="56"/>
      <c r="AD316" s="56"/>
      <c r="AE316" s="56"/>
    </row>
    <row r="317" spans="1:31" ht="15" x14ac:dyDescent="0.35">
      <c r="A317" s="30"/>
      <c r="B317" s="30"/>
      <c r="C317" s="30"/>
      <c r="D317" s="25" t="s">
        <v>140</v>
      </c>
      <c r="E317" s="88">
        <f>H211*C190*I200/I201</f>
        <v>4558.1063891718932</v>
      </c>
      <c r="F317" s="30" t="s">
        <v>38</v>
      </c>
      <c r="G317" s="30"/>
      <c r="H317" s="30"/>
      <c r="I317" s="30"/>
      <c r="J317" s="30"/>
      <c r="K317" s="30"/>
      <c r="O317" s="32"/>
      <c r="P317" s="31"/>
      <c r="Q317" s="33"/>
      <c r="R317" s="33"/>
      <c r="S317" s="31"/>
      <c r="X317" s="56"/>
      <c r="Y317" s="56"/>
      <c r="Z317" s="56"/>
      <c r="AC317" s="56"/>
      <c r="AD317" s="56"/>
      <c r="AE317" s="56"/>
    </row>
    <row r="318" spans="1:31" ht="15" x14ac:dyDescent="0.35">
      <c r="A318" s="30"/>
      <c r="B318" s="107"/>
      <c r="C318" s="58"/>
      <c r="D318" s="25" t="s">
        <v>146</v>
      </c>
      <c r="E318" s="117">
        <f>$E$309*H210*C190*I200/I201</f>
        <v>1961.8014477572196</v>
      </c>
      <c r="F318" s="30" t="s">
        <v>38</v>
      </c>
      <c r="G318" s="30"/>
      <c r="H318" s="30"/>
      <c r="I318" s="30"/>
      <c r="J318" s="30"/>
      <c r="K318" s="30"/>
      <c r="O318" s="32"/>
      <c r="P318" s="31"/>
      <c r="Q318" s="33"/>
      <c r="R318" s="33"/>
      <c r="S318" s="31"/>
      <c r="X318" s="56"/>
      <c r="Y318" s="56"/>
      <c r="Z318" s="56"/>
      <c r="AC318" s="56"/>
      <c r="AD318" s="56"/>
      <c r="AE318" s="56"/>
    </row>
    <row r="319" spans="1:31" x14ac:dyDescent="0.3">
      <c r="A319" s="37"/>
      <c r="B319" s="30"/>
      <c r="C319" s="30"/>
      <c r="D319" s="30"/>
      <c r="E319" s="41"/>
      <c r="F319" s="42"/>
      <c r="G319" s="30"/>
      <c r="H319" s="30"/>
      <c r="I319" s="30"/>
      <c r="J319" s="30"/>
      <c r="K319" s="30"/>
      <c r="O319" s="32"/>
      <c r="P319" s="31"/>
      <c r="Q319" s="33"/>
      <c r="R319" s="33"/>
      <c r="S319" s="31"/>
      <c r="W319" s="45"/>
      <c r="X319" s="56"/>
      <c r="Y319" s="56"/>
      <c r="Z319" s="56"/>
      <c r="AB319" s="45"/>
      <c r="AC319" s="56"/>
      <c r="AD319" s="56"/>
      <c r="AE319" s="56"/>
    </row>
    <row r="320" spans="1:31" x14ac:dyDescent="0.3">
      <c r="A320" s="37"/>
      <c r="B320" s="49" t="str">
        <f>B212</f>
        <v>Max Aft CG Case</v>
      </c>
      <c r="C320" s="30"/>
      <c r="D320" s="30"/>
      <c r="E320" s="30"/>
      <c r="F320" s="30"/>
      <c r="G320" s="30"/>
      <c r="H320" s="30"/>
      <c r="I320" s="30"/>
      <c r="J320" s="30"/>
      <c r="K320" s="30"/>
      <c r="L320" s="27"/>
      <c r="N320" s="34"/>
      <c r="O320" s="32"/>
      <c r="P320" s="31"/>
      <c r="Q320" s="33"/>
      <c r="R320" s="33"/>
      <c r="S320" s="31"/>
      <c r="W320" s="45"/>
      <c r="X320" s="118"/>
      <c r="Y320" s="118"/>
      <c r="Z320" s="118"/>
      <c r="AB320" s="45"/>
      <c r="AC320" s="118"/>
      <c r="AD320" s="118"/>
      <c r="AE320" s="118"/>
    </row>
    <row r="321" spans="1:31" x14ac:dyDescent="0.3">
      <c r="A321" s="30"/>
      <c r="B321" s="30"/>
      <c r="C321" s="30"/>
      <c r="D321" s="30"/>
      <c r="E321" s="30"/>
      <c r="F321" s="30"/>
      <c r="G321" s="30"/>
      <c r="H321" s="30"/>
      <c r="I321" s="30"/>
      <c r="J321" s="30"/>
      <c r="K321" s="30"/>
      <c r="O321" s="32"/>
      <c r="P321" s="31"/>
      <c r="Q321" s="33"/>
      <c r="R321" s="33"/>
      <c r="S321" s="31"/>
      <c r="W321" s="45"/>
      <c r="X321" s="56"/>
      <c r="Y321" s="56"/>
      <c r="Z321" s="56"/>
      <c r="AB321" s="45"/>
      <c r="AC321" s="56"/>
      <c r="AD321" s="56"/>
      <c r="AE321" s="56"/>
    </row>
    <row r="322" spans="1:31" ht="15" x14ac:dyDescent="0.35">
      <c r="A322" s="30"/>
      <c r="B322" s="30"/>
      <c r="C322" s="30"/>
      <c r="D322" s="25" t="s">
        <v>139</v>
      </c>
      <c r="E322" s="88">
        <f>H234*C214*I223/I225</f>
        <v>11420.083893104833</v>
      </c>
      <c r="F322" s="30" t="s">
        <v>38</v>
      </c>
      <c r="G322" s="30"/>
      <c r="H322" s="30"/>
      <c r="I322" s="30"/>
      <c r="J322" s="30"/>
      <c r="K322" s="30"/>
      <c r="O322" s="32"/>
      <c r="P322" s="31"/>
      <c r="Q322" s="33"/>
      <c r="R322" s="33"/>
      <c r="S322" s="31"/>
      <c r="W322" s="119"/>
      <c r="X322" s="115"/>
      <c r="Y322" s="109"/>
      <c r="Z322" s="109"/>
      <c r="AB322" s="119"/>
      <c r="AC322" s="115"/>
      <c r="AD322" s="109"/>
      <c r="AE322" s="109"/>
    </row>
    <row r="323" spans="1:31" ht="15" x14ac:dyDescent="0.35">
      <c r="A323" s="30"/>
      <c r="B323" s="30"/>
      <c r="C323" s="30"/>
      <c r="D323" s="25" t="s">
        <v>143</v>
      </c>
      <c r="E323" s="88">
        <f>E322/2</f>
        <v>5710.0419465524164</v>
      </c>
      <c r="F323" s="30" t="s">
        <v>38</v>
      </c>
      <c r="G323" s="30"/>
      <c r="H323" s="30"/>
      <c r="I323" s="30"/>
      <c r="J323" s="30"/>
      <c r="K323" s="30"/>
      <c r="O323" s="32"/>
      <c r="P323" s="31"/>
      <c r="Q323" s="33"/>
      <c r="R323" s="33"/>
      <c r="S323" s="31"/>
      <c r="W323" s="114"/>
      <c r="X323" s="58"/>
      <c r="Z323" s="41"/>
      <c r="AB323" s="114"/>
      <c r="AC323" s="58"/>
      <c r="AE323" s="41"/>
    </row>
    <row r="324" spans="1:31" ht="15" x14ac:dyDescent="0.35">
      <c r="A324" s="30"/>
      <c r="B324" s="30"/>
      <c r="C324" s="30"/>
      <c r="D324" s="25" t="s">
        <v>144</v>
      </c>
      <c r="E324" s="116">
        <f>$E$309*H233*C214*I223/I225</f>
        <v>4915.1852111710505</v>
      </c>
      <c r="F324" s="30" t="s">
        <v>38</v>
      </c>
      <c r="G324" s="30"/>
      <c r="H324" s="30"/>
      <c r="I324" s="30"/>
      <c r="J324" s="30"/>
      <c r="K324" s="30"/>
      <c r="O324" s="32"/>
      <c r="P324" s="31"/>
      <c r="Q324" s="33"/>
      <c r="R324" s="33"/>
      <c r="S324" s="31"/>
      <c r="W324" s="41"/>
      <c r="X324" s="56"/>
      <c r="Y324" s="56"/>
      <c r="Z324" s="56"/>
      <c r="AB324" s="41"/>
      <c r="AC324" s="56"/>
      <c r="AD324" s="56"/>
      <c r="AE324" s="56"/>
    </row>
    <row r="325" spans="1:31" ht="15" x14ac:dyDescent="0.35">
      <c r="A325" s="30"/>
      <c r="B325" s="30"/>
      <c r="C325" s="30"/>
      <c r="D325" s="25" t="s">
        <v>145</v>
      </c>
      <c r="E325" s="116">
        <f>E324/2</f>
        <v>2457.5926055855252</v>
      </c>
      <c r="F325" s="30" t="s">
        <v>38</v>
      </c>
      <c r="G325" s="30"/>
      <c r="H325" s="30"/>
      <c r="I325" s="30"/>
      <c r="J325" s="30"/>
      <c r="K325" s="30"/>
      <c r="O325" s="32"/>
      <c r="P325" s="31"/>
      <c r="Q325" s="33"/>
      <c r="R325" s="33"/>
      <c r="S325" s="31"/>
      <c r="X325" s="56"/>
      <c r="Y325" s="56"/>
      <c r="Z325" s="120"/>
      <c r="AC325" s="56"/>
      <c r="AD325" s="56"/>
      <c r="AE325" s="120"/>
    </row>
    <row r="326" spans="1:31" ht="15" x14ac:dyDescent="0.35">
      <c r="C326" s="25"/>
      <c r="D326" s="25" t="s">
        <v>140</v>
      </c>
      <c r="E326" s="88">
        <f>H234*C214*I224/I225</f>
        <v>2931.1492392997343</v>
      </c>
      <c r="F326" s="30" t="s">
        <v>38</v>
      </c>
      <c r="O326" s="32"/>
      <c r="P326" s="31"/>
      <c r="Q326" s="33"/>
      <c r="R326" s="33"/>
      <c r="S326" s="31"/>
      <c r="X326" s="56"/>
      <c r="Y326" s="56"/>
      <c r="Z326" s="56"/>
      <c r="AC326" s="56"/>
      <c r="AD326" s="56"/>
      <c r="AE326" s="56"/>
    </row>
    <row r="327" spans="1:31" ht="15" x14ac:dyDescent="0.35">
      <c r="D327" s="25" t="s">
        <v>146</v>
      </c>
      <c r="E327" s="117">
        <f>$E$309*H233*C214*I224/I225</f>
        <v>1261.5617825224567</v>
      </c>
      <c r="F327" s="30" t="s">
        <v>38</v>
      </c>
      <c r="O327" s="32"/>
      <c r="P327" s="31"/>
      <c r="Q327" s="33"/>
      <c r="R327" s="33"/>
      <c r="S327" s="31"/>
      <c r="W327" s="121"/>
      <c r="Y327" s="122"/>
      <c r="Z327" s="41"/>
      <c r="AB327" s="121"/>
      <c r="AD327" s="122"/>
      <c r="AE327" s="41"/>
    </row>
    <row r="328" spans="1:31" x14ac:dyDescent="0.3">
      <c r="C328" s="123"/>
      <c r="D328" s="86"/>
      <c r="O328" s="32"/>
      <c r="P328" s="31"/>
      <c r="Q328" s="33"/>
      <c r="R328" s="33"/>
      <c r="S328" s="31"/>
    </row>
    <row r="329" spans="1:31" x14ac:dyDescent="0.3">
      <c r="A329" s="37"/>
      <c r="B329" s="49" t="str">
        <f>B245</f>
        <v>Minimum Weight Case</v>
      </c>
      <c r="C329" s="30"/>
      <c r="D329" s="30"/>
      <c r="E329" s="30"/>
      <c r="F329" s="30"/>
      <c r="G329" s="30"/>
      <c r="H329" s="30"/>
      <c r="I329" s="30"/>
      <c r="J329" s="30"/>
      <c r="K329" s="30"/>
      <c r="L329" s="27"/>
      <c r="N329" s="34"/>
      <c r="O329" s="32"/>
      <c r="P329" s="31"/>
      <c r="Q329" s="33"/>
      <c r="R329" s="33"/>
      <c r="S329" s="31"/>
    </row>
    <row r="330" spans="1:31" x14ac:dyDescent="0.3">
      <c r="A330" s="30"/>
      <c r="B330" s="30"/>
      <c r="C330" s="30"/>
      <c r="D330" s="30"/>
      <c r="E330" s="30"/>
      <c r="F330" s="30"/>
      <c r="G330" s="30"/>
      <c r="H330" s="30"/>
      <c r="I330" s="30"/>
      <c r="J330" s="30"/>
      <c r="K330" s="30"/>
      <c r="O330" s="32"/>
      <c r="P330" s="31"/>
      <c r="Q330" s="33"/>
      <c r="R330" s="33"/>
      <c r="S330" s="31"/>
      <c r="X330" s="56"/>
      <c r="Y330" s="109"/>
      <c r="Z330" s="109"/>
      <c r="AC330" s="56"/>
      <c r="AD330" s="109"/>
      <c r="AE330" s="109"/>
    </row>
    <row r="331" spans="1:31" ht="15" x14ac:dyDescent="0.35">
      <c r="A331" s="30"/>
      <c r="B331" s="30"/>
      <c r="C331" s="30"/>
      <c r="D331" s="25" t="s">
        <v>139</v>
      </c>
      <c r="E331" s="88">
        <f>H268*C248*I257/I259</f>
        <v>9049.2677354534226</v>
      </c>
      <c r="F331" s="30" t="s">
        <v>38</v>
      </c>
      <c r="G331" s="30"/>
      <c r="H331" s="30"/>
      <c r="I331" s="30"/>
      <c r="J331" s="30"/>
      <c r="K331" s="30"/>
      <c r="O331" s="32"/>
      <c r="P331" s="31"/>
      <c r="Q331" s="33"/>
      <c r="R331" s="33"/>
      <c r="S331" s="31"/>
      <c r="W331" s="110"/>
      <c r="X331" s="111"/>
      <c r="Y331" s="109"/>
      <c r="Z331" s="112"/>
      <c r="AB331" s="110"/>
      <c r="AC331" s="111"/>
      <c r="AD331" s="109"/>
      <c r="AE331" s="112"/>
    </row>
    <row r="332" spans="1:31" ht="15" x14ac:dyDescent="0.35">
      <c r="A332" s="30"/>
      <c r="B332" s="30"/>
      <c r="C332" s="30"/>
      <c r="D332" s="25" t="s">
        <v>143</v>
      </c>
      <c r="E332" s="88">
        <f>E331/2</f>
        <v>4524.6338677267113</v>
      </c>
      <c r="F332" s="30" t="s">
        <v>38</v>
      </c>
      <c r="G332" s="30"/>
      <c r="H332" s="30"/>
      <c r="I332" s="30"/>
      <c r="J332" s="30"/>
      <c r="K332" s="30"/>
      <c r="O332" s="32"/>
      <c r="P332" s="31"/>
      <c r="Q332" s="33"/>
      <c r="R332" s="33"/>
      <c r="S332" s="31"/>
      <c r="W332" s="41"/>
      <c r="X332" s="113"/>
      <c r="Y332" s="56"/>
      <c r="Z332" s="109"/>
      <c r="AB332" s="41"/>
      <c r="AC332" s="113"/>
      <c r="AD332" s="56"/>
      <c r="AE332" s="109"/>
    </row>
    <row r="333" spans="1:31" ht="15" x14ac:dyDescent="0.35">
      <c r="A333" s="30"/>
      <c r="B333" s="30"/>
      <c r="C333" s="30"/>
      <c r="D333" s="25" t="s">
        <v>144</v>
      </c>
      <c r="E333" s="116">
        <f>$E$309*H267*C248*I257/I259</f>
        <v>3894.789859826094</v>
      </c>
      <c r="F333" s="30" t="s">
        <v>38</v>
      </c>
      <c r="G333" s="30"/>
      <c r="H333" s="30"/>
      <c r="I333" s="30"/>
      <c r="J333" s="30"/>
      <c r="K333" s="30"/>
      <c r="O333" s="32"/>
      <c r="P333" s="31"/>
      <c r="Q333" s="33"/>
      <c r="R333" s="33"/>
      <c r="S333" s="31"/>
      <c r="W333" s="114"/>
      <c r="X333" s="115"/>
      <c r="Y333" s="112"/>
      <c r="Z333" s="109"/>
      <c r="AB333" s="114"/>
      <c r="AC333" s="115"/>
      <c r="AD333" s="112"/>
      <c r="AE333" s="109"/>
    </row>
    <row r="334" spans="1:31" ht="15" x14ac:dyDescent="0.35">
      <c r="A334" s="30"/>
      <c r="B334" s="30"/>
      <c r="C334" s="30"/>
      <c r="D334" s="25" t="s">
        <v>145</v>
      </c>
      <c r="E334" s="116">
        <f>E333/2</f>
        <v>1947.394929913047</v>
      </c>
      <c r="F334" s="30" t="s">
        <v>38</v>
      </c>
      <c r="G334" s="30"/>
      <c r="H334" s="30"/>
      <c r="I334" s="30"/>
      <c r="J334" s="30"/>
      <c r="K334" s="30"/>
      <c r="O334" s="32"/>
      <c r="P334" s="31"/>
      <c r="Q334" s="33"/>
      <c r="R334" s="33"/>
      <c r="S334" s="31"/>
      <c r="X334" s="56"/>
      <c r="Y334" s="56"/>
      <c r="Z334" s="56"/>
      <c r="AC334" s="56"/>
      <c r="AD334" s="56"/>
      <c r="AE334" s="56"/>
    </row>
    <row r="335" spans="1:31" ht="15" x14ac:dyDescent="0.35">
      <c r="C335" s="25"/>
      <c r="D335" s="25" t="s">
        <v>140</v>
      </c>
      <c r="E335" s="88">
        <f>H268*C248*I258/I259</f>
        <v>2511.0824489598499</v>
      </c>
      <c r="F335" s="30" t="s">
        <v>38</v>
      </c>
      <c r="O335" s="32"/>
      <c r="P335" s="31"/>
      <c r="Q335" s="33"/>
      <c r="R335" s="33"/>
      <c r="S335" s="31"/>
      <c r="W335" s="45"/>
      <c r="X335" s="56"/>
      <c r="Y335" s="56"/>
      <c r="Z335" s="56"/>
      <c r="AB335" s="45"/>
      <c r="AC335" s="56"/>
      <c r="AD335" s="56"/>
      <c r="AE335" s="56"/>
    </row>
    <row r="336" spans="1:31" ht="15" x14ac:dyDescent="0.35">
      <c r="D336" s="25" t="s">
        <v>146</v>
      </c>
      <c r="E336" s="117">
        <f>$E$309*H267*C248*I258/I259</f>
        <v>1080.7657310302857</v>
      </c>
      <c r="F336" s="30" t="s">
        <v>38</v>
      </c>
      <c r="O336" s="32"/>
      <c r="P336" s="31"/>
      <c r="Q336" s="33"/>
      <c r="R336" s="33"/>
      <c r="S336" s="31"/>
      <c r="X336" s="56"/>
      <c r="Y336" s="56"/>
      <c r="Z336" s="56"/>
      <c r="AC336" s="56"/>
      <c r="AD336" s="56"/>
      <c r="AE336" s="56"/>
    </row>
    <row r="337" spans="1:31" x14ac:dyDescent="0.3">
      <c r="C337" s="123"/>
      <c r="D337" s="86"/>
      <c r="O337" s="32"/>
      <c r="P337" s="31"/>
      <c r="Q337" s="33"/>
      <c r="R337" s="33"/>
      <c r="S337" s="31"/>
      <c r="X337" s="56"/>
      <c r="Y337" s="56"/>
      <c r="Z337" s="56"/>
      <c r="AC337" s="56"/>
      <c r="AD337" s="56"/>
      <c r="AE337" s="56"/>
    </row>
    <row r="338" spans="1:31" x14ac:dyDescent="0.3">
      <c r="A338" s="37"/>
      <c r="B338" s="49" t="str">
        <f>B270</f>
        <v>Maximum Landing Weight Case</v>
      </c>
      <c r="C338" s="30"/>
      <c r="D338" s="30"/>
      <c r="E338" s="30"/>
      <c r="F338" s="30"/>
      <c r="G338" s="30"/>
      <c r="H338" s="30"/>
      <c r="I338" s="30"/>
      <c r="J338" s="30"/>
      <c r="K338" s="30"/>
      <c r="L338" s="27"/>
      <c r="N338" s="34"/>
      <c r="O338" s="32"/>
      <c r="P338" s="31"/>
      <c r="Q338" s="33"/>
      <c r="R338" s="33"/>
      <c r="S338" s="31"/>
      <c r="W338" s="45"/>
      <c r="X338" s="56"/>
      <c r="Y338" s="56"/>
      <c r="Z338" s="56"/>
      <c r="AB338" s="45"/>
      <c r="AC338" s="56"/>
      <c r="AD338" s="56"/>
      <c r="AE338" s="56"/>
    </row>
    <row r="339" spans="1:31" x14ac:dyDescent="0.3">
      <c r="A339" s="30"/>
      <c r="B339" s="30"/>
      <c r="C339" s="30"/>
      <c r="D339" s="30"/>
      <c r="E339" s="30"/>
      <c r="F339" s="30"/>
      <c r="G339" s="30"/>
      <c r="H339" s="30"/>
      <c r="I339" s="30"/>
      <c r="J339" s="30"/>
      <c r="K339" s="30"/>
      <c r="O339" s="32"/>
      <c r="P339" s="31"/>
      <c r="Q339" s="33"/>
      <c r="R339" s="33"/>
      <c r="S339" s="31"/>
      <c r="W339" s="45"/>
      <c r="X339" s="118"/>
      <c r="Y339" s="118"/>
      <c r="Z339" s="118"/>
      <c r="AB339" s="45"/>
      <c r="AC339" s="118"/>
      <c r="AD339" s="118"/>
      <c r="AE339" s="118"/>
    </row>
    <row r="340" spans="1:31" ht="15" x14ac:dyDescent="0.35">
      <c r="A340" s="30"/>
      <c r="B340" s="30"/>
      <c r="C340" s="30"/>
      <c r="D340" s="25" t="s">
        <v>139</v>
      </c>
      <c r="E340" s="88">
        <f>H292*C272*I281/I283</f>
        <v>12976.005030421824</v>
      </c>
      <c r="F340" s="30" t="s">
        <v>38</v>
      </c>
      <c r="G340" s="30"/>
      <c r="H340" s="30"/>
      <c r="I340" s="30"/>
      <c r="J340" s="30"/>
      <c r="K340" s="30"/>
      <c r="O340" s="32"/>
      <c r="P340" s="31"/>
      <c r="Q340" s="33"/>
      <c r="R340" s="33"/>
      <c r="S340" s="31"/>
      <c r="W340" s="45"/>
      <c r="X340" s="56"/>
      <c r="Y340" s="56"/>
      <c r="Z340" s="56"/>
      <c r="AB340" s="45"/>
      <c r="AC340" s="56"/>
      <c r="AD340" s="56"/>
      <c r="AE340" s="56"/>
    </row>
    <row r="341" spans="1:31" ht="15" x14ac:dyDescent="0.35">
      <c r="A341" s="30"/>
      <c r="B341" s="30"/>
      <c r="C341" s="30"/>
      <c r="D341" s="25" t="s">
        <v>143</v>
      </c>
      <c r="E341" s="88">
        <f>E340/2</f>
        <v>6488.002515210912</v>
      </c>
      <c r="F341" s="30" t="s">
        <v>38</v>
      </c>
      <c r="G341" s="30"/>
      <c r="H341" s="30"/>
      <c r="I341" s="30"/>
      <c r="J341" s="30"/>
      <c r="K341" s="30"/>
      <c r="O341" s="32"/>
      <c r="P341" s="31"/>
      <c r="Q341" s="33"/>
      <c r="R341" s="33"/>
      <c r="S341" s="31"/>
      <c r="W341" s="119"/>
      <c r="X341" s="115"/>
      <c r="Y341" s="109"/>
      <c r="Z341" s="109"/>
      <c r="AB341" s="119"/>
      <c r="AC341" s="115"/>
      <c r="AD341" s="109"/>
      <c r="AE341" s="109"/>
    </row>
    <row r="342" spans="1:31" ht="15" x14ac:dyDescent="0.35">
      <c r="A342" s="30"/>
      <c r="B342" s="30"/>
      <c r="C342" s="30"/>
      <c r="D342" s="25" t="s">
        <v>144</v>
      </c>
      <c r="E342" s="116">
        <f>$E$309*H291*C272*I281/I283</f>
        <v>5584.851094142924</v>
      </c>
      <c r="F342" s="30" t="s">
        <v>38</v>
      </c>
      <c r="G342" s="30"/>
      <c r="H342" s="30"/>
      <c r="I342" s="30"/>
      <c r="J342" s="30"/>
      <c r="K342" s="30"/>
      <c r="O342" s="32"/>
      <c r="P342" s="31"/>
      <c r="Q342" s="33"/>
      <c r="R342" s="33"/>
      <c r="S342" s="31"/>
      <c r="W342" s="114"/>
      <c r="X342" s="58"/>
      <c r="Z342" s="41"/>
      <c r="AB342" s="114"/>
      <c r="AC342" s="58"/>
      <c r="AE342" s="41"/>
    </row>
    <row r="343" spans="1:31" ht="15" x14ac:dyDescent="0.35">
      <c r="A343" s="30"/>
      <c r="B343" s="30"/>
      <c r="C343" s="30"/>
      <c r="D343" s="25" t="s">
        <v>145</v>
      </c>
      <c r="E343" s="116">
        <f>E342/2</f>
        <v>2792.425547071462</v>
      </c>
      <c r="F343" s="30" t="s">
        <v>38</v>
      </c>
      <c r="G343" s="30"/>
      <c r="H343" s="30"/>
      <c r="I343" s="30"/>
      <c r="J343" s="30"/>
      <c r="K343" s="30"/>
      <c r="O343" s="32"/>
      <c r="P343" s="31"/>
      <c r="Q343" s="33"/>
      <c r="R343" s="33"/>
      <c r="S343" s="31"/>
      <c r="W343" s="41"/>
      <c r="X343" s="56"/>
      <c r="Y343" s="56"/>
      <c r="Z343" s="56"/>
      <c r="AB343" s="41"/>
      <c r="AC343" s="56"/>
      <c r="AD343" s="56"/>
      <c r="AE343" s="56"/>
    </row>
    <row r="344" spans="1:31" ht="15" x14ac:dyDescent="0.35">
      <c r="C344" s="25"/>
      <c r="D344" s="25" t="s">
        <v>140</v>
      </c>
      <c r="E344" s="88">
        <f>H292*C272*I282/I283</f>
        <v>5137.3295464077728</v>
      </c>
      <c r="F344" s="30" t="s">
        <v>38</v>
      </c>
      <c r="O344" s="32"/>
      <c r="P344" s="31"/>
      <c r="Q344" s="33"/>
      <c r="R344" s="33"/>
      <c r="S344" s="31"/>
      <c r="X344" s="56"/>
      <c r="Y344" s="56"/>
      <c r="Z344" s="120"/>
      <c r="AC344" s="56"/>
      <c r="AD344" s="56"/>
      <c r="AE344" s="120"/>
    </row>
    <row r="345" spans="1:31" ht="15" x14ac:dyDescent="0.35">
      <c r="D345" s="25" t="s">
        <v>146</v>
      </c>
      <c r="E345" s="117">
        <f>$E$309*H291*C272*I282/I283</f>
        <v>2211.0981362108432</v>
      </c>
      <c r="F345" s="30" t="s">
        <v>38</v>
      </c>
      <c r="O345" s="32"/>
      <c r="P345" s="31"/>
      <c r="Q345" s="33"/>
      <c r="R345" s="33"/>
      <c r="S345" s="31"/>
      <c r="X345" s="56"/>
      <c r="Y345" s="56"/>
      <c r="Z345" s="56"/>
      <c r="AC345" s="56"/>
      <c r="AD345" s="56"/>
      <c r="AE345" s="56"/>
    </row>
    <row r="346" spans="1:31" x14ac:dyDescent="0.3">
      <c r="A346" s="190"/>
      <c r="B346" s="193"/>
      <c r="C346" s="195"/>
      <c r="D346" s="190"/>
      <c r="E346" s="190"/>
      <c r="F346" s="190"/>
      <c r="G346" s="195"/>
      <c r="H346" s="190"/>
      <c r="I346" s="190"/>
      <c r="J346" s="190"/>
      <c r="K346" s="190"/>
      <c r="O346" s="32"/>
      <c r="P346" s="31"/>
      <c r="Q346" s="33"/>
      <c r="R346" s="33"/>
      <c r="S346" s="31"/>
      <c r="W346" s="121"/>
      <c r="Y346" s="122"/>
      <c r="Z346" s="41"/>
      <c r="AB346" s="121"/>
      <c r="AD346" s="122"/>
      <c r="AE346" s="41"/>
    </row>
    <row r="347" spans="1:31" x14ac:dyDescent="0.3">
      <c r="A347" s="190"/>
      <c r="B347" s="196"/>
      <c r="C347" s="195"/>
      <c r="D347" s="197"/>
      <c r="E347" s="197"/>
      <c r="F347" s="198" t="s">
        <v>159</v>
      </c>
      <c r="G347" s="195"/>
      <c r="H347" s="197"/>
      <c r="I347" s="197"/>
      <c r="J347" s="197"/>
      <c r="K347" s="190"/>
      <c r="O347" s="32"/>
      <c r="P347" s="31"/>
      <c r="Q347" s="33"/>
      <c r="R347" s="33"/>
      <c r="S347" s="31"/>
    </row>
    <row r="348" spans="1:31" x14ac:dyDescent="0.3">
      <c r="A348" s="190"/>
      <c r="B348" s="197"/>
      <c r="C348" s="197"/>
      <c r="D348" s="197"/>
      <c r="E348" s="197"/>
      <c r="F348" s="199" t="s">
        <v>160</v>
      </c>
      <c r="G348" s="197"/>
      <c r="H348" s="197"/>
      <c r="I348" s="197"/>
      <c r="J348" s="197"/>
      <c r="K348" s="190"/>
      <c r="O348" s="32"/>
      <c r="P348" s="31"/>
      <c r="Q348" s="33"/>
      <c r="R348" s="33"/>
      <c r="S348" s="31"/>
    </row>
    <row r="349" spans="1:31" x14ac:dyDescent="0.3">
      <c r="A349" s="14"/>
      <c r="B349" s="5"/>
      <c r="C349" s="5"/>
      <c r="D349" s="5"/>
      <c r="E349" s="7" t="s">
        <v>1</v>
      </c>
      <c r="F349" s="8" t="str">
        <f>$C$1</f>
        <v>R. Abbott</v>
      </c>
      <c r="G349" s="5"/>
      <c r="H349" s="15"/>
      <c r="I349" s="7" t="s">
        <v>8</v>
      </c>
      <c r="J349" s="16" t="str">
        <f>$G$2</f>
        <v>AA-SM-503</v>
      </c>
      <c r="K349" s="17"/>
      <c r="L349" s="18"/>
      <c r="M349" s="9"/>
      <c r="N349" s="9"/>
      <c r="O349" s="9"/>
      <c r="P349" s="9"/>
      <c r="Q349" s="33"/>
      <c r="R349" s="33"/>
      <c r="S349" s="31"/>
    </row>
    <row r="350" spans="1:31" x14ac:dyDescent="0.3">
      <c r="A350" s="5"/>
      <c r="B350" s="5"/>
      <c r="C350" s="5"/>
      <c r="D350" s="5"/>
      <c r="E350" s="7" t="s">
        <v>2</v>
      </c>
      <c r="F350" s="15" t="str">
        <f>$C$2</f>
        <v xml:space="preserve"> </v>
      </c>
      <c r="G350" s="5"/>
      <c r="H350" s="15"/>
      <c r="I350" s="7" t="s">
        <v>9</v>
      </c>
      <c r="J350" s="17" t="str">
        <f>$G$3</f>
        <v>IR</v>
      </c>
      <c r="K350" s="17"/>
      <c r="L350" s="18"/>
      <c r="M350" s="9">
        <v>1</v>
      </c>
      <c r="N350" s="9"/>
      <c r="O350" s="9"/>
      <c r="P350" s="9"/>
      <c r="Q350" s="33"/>
      <c r="R350" s="33"/>
      <c r="S350" s="31"/>
    </row>
    <row r="351" spans="1:31" x14ac:dyDescent="0.3">
      <c r="A351" s="5"/>
      <c r="B351" s="5"/>
      <c r="C351" s="5"/>
      <c r="D351" s="5"/>
      <c r="E351" s="7" t="s">
        <v>3</v>
      </c>
      <c r="F351" s="15" t="str">
        <f>$C$3</f>
        <v>20/10/2013</v>
      </c>
      <c r="G351" s="5"/>
      <c r="H351" s="15"/>
      <c r="I351" s="7" t="s">
        <v>6</v>
      </c>
      <c r="J351" s="8" t="str">
        <f>L351&amp;" of "&amp;$G$1</f>
        <v>7 of 15</v>
      </c>
      <c r="K351" s="15"/>
      <c r="L351" s="18">
        <f>SUM($M$1:M350)</f>
        <v>7</v>
      </c>
      <c r="M351" s="9"/>
      <c r="N351" s="9"/>
      <c r="O351" s="9"/>
      <c r="P351" s="9"/>
      <c r="Q351" s="33"/>
      <c r="R351" s="33"/>
      <c r="S351" s="31"/>
    </row>
    <row r="352" spans="1:31" x14ac:dyDescent="0.3">
      <c r="E352" s="7" t="s">
        <v>131</v>
      </c>
      <c r="F352" s="15" t="str">
        <f>$C$5</f>
        <v>STANDARD SPREADSHEET METHOD</v>
      </c>
      <c r="G352" s="5"/>
      <c r="H352" s="5"/>
      <c r="I352" s="19"/>
      <c r="J352" s="8"/>
      <c r="K352" s="5"/>
      <c r="L352" s="5"/>
      <c r="M352" s="9"/>
      <c r="N352" s="9"/>
      <c r="O352" s="9"/>
      <c r="P352" s="9"/>
      <c r="Q352" s="33"/>
      <c r="R352" s="33"/>
      <c r="S352" s="31"/>
    </row>
    <row r="353" spans="1:62" ht="13.5" customHeight="1" x14ac:dyDescent="0.3">
      <c r="A353" s="190"/>
      <c r="B353" s="21" t="str">
        <f>$G$4</f>
        <v>SIMPLE LANDING GEAR LOADS</v>
      </c>
      <c r="C353" s="190"/>
      <c r="D353" s="190"/>
      <c r="E353" s="190"/>
      <c r="F353" s="190"/>
      <c r="G353" s="190"/>
      <c r="H353" s="190"/>
      <c r="I353" s="190"/>
      <c r="J353" s="190"/>
      <c r="K353" s="190"/>
      <c r="L353" s="191"/>
      <c r="M353" s="192"/>
      <c r="N353" s="192"/>
      <c r="O353" s="192"/>
      <c r="P353" s="192"/>
      <c r="Q353" s="33"/>
      <c r="R353" s="33"/>
      <c r="S353" s="31"/>
      <c r="V353" s="41"/>
      <c r="W353" s="83"/>
      <c r="X353" s="83"/>
      <c r="Y353" s="83"/>
      <c r="Z353" s="83"/>
      <c r="AA353" s="83"/>
      <c r="AB353" s="83"/>
      <c r="AC353" s="83"/>
      <c r="AD353" s="83"/>
      <c r="AE353" s="83"/>
      <c r="AF353" s="83"/>
      <c r="AG353" s="83"/>
      <c r="AH353" s="83"/>
      <c r="AI353" s="83"/>
      <c r="AJ353" s="83"/>
      <c r="AK353" s="83"/>
      <c r="AL353" s="83"/>
      <c r="AM353" s="83"/>
      <c r="AN353" s="83"/>
      <c r="AO353" s="83"/>
      <c r="AP353" s="83"/>
      <c r="AQ353" s="83"/>
      <c r="AR353" s="83"/>
      <c r="AS353" s="83"/>
      <c r="AT353" s="83"/>
      <c r="AU353" s="83"/>
      <c r="AV353" s="83"/>
      <c r="AW353" s="83"/>
      <c r="AX353" s="83"/>
      <c r="AY353" s="83"/>
      <c r="AZ353" s="83"/>
      <c r="BA353" s="83"/>
      <c r="BB353" s="83"/>
      <c r="BC353" s="83"/>
      <c r="BD353" s="83"/>
      <c r="BE353" s="83"/>
      <c r="BF353" s="83"/>
      <c r="BG353" s="83"/>
      <c r="BH353" s="83"/>
      <c r="BI353" s="83"/>
      <c r="BJ353" s="83"/>
    </row>
    <row r="354" spans="1:62" x14ac:dyDescent="0.3">
      <c r="A354" s="37"/>
      <c r="B354" s="26" t="s">
        <v>74</v>
      </c>
      <c r="O354" s="32"/>
      <c r="P354" s="31"/>
      <c r="Q354" s="33"/>
      <c r="R354" s="33"/>
      <c r="S354" s="31"/>
    </row>
    <row r="355" spans="1:62" x14ac:dyDescent="0.3">
      <c r="B355" s="26"/>
      <c r="O355" s="32"/>
      <c r="P355" s="31"/>
      <c r="Q355" s="33"/>
      <c r="R355" s="33"/>
      <c r="S355" s="31"/>
      <c r="V355" s="41"/>
      <c r="AF355" s="79"/>
      <c r="AG355" s="79"/>
      <c r="AH355" s="79"/>
      <c r="AI355" s="79"/>
      <c r="AJ355" s="79"/>
      <c r="AK355" s="79"/>
      <c r="AL355" s="79"/>
      <c r="AM355" s="79"/>
      <c r="AN355" s="79"/>
      <c r="AO355" s="79"/>
      <c r="AP355" s="79"/>
      <c r="AQ355" s="79"/>
      <c r="AR355" s="79"/>
      <c r="AS355" s="79"/>
      <c r="AT355" s="79"/>
      <c r="AU355" s="79"/>
      <c r="AV355" s="79"/>
      <c r="AW355" s="79"/>
      <c r="AX355" s="79"/>
      <c r="AY355" s="79"/>
      <c r="AZ355" s="79"/>
      <c r="BA355" s="79"/>
      <c r="BB355" s="79"/>
      <c r="BC355" s="79"/>
      <c r="BD355" s="79"/>
      <c r="BE355" s="79"/>
      <c r="BF355" s="79"/>
      <c r="BG355" s="79"/>
      <c r="BH355" s="79"/>
      <c r="BI355" s="79"/>
      <c r="BJ355" s="79"/>
    </row>
    <row r="356" spans="1:62" x14ac:dyDescent="0.3">
      <c r="A356" s="37"/>
      <c r="B356" s="49" t="str">
        <f>B187</f>
        <v>Max Forward CG Case</v>
      </c>
      <c r="C356" s="30"/>
      <c r="D356" s="30"/>
      <c r="E356" s="30"/>
      <c r="F356" s="30"/>
      <c r="G356" s="30"/>
      <c r="H356" s="30"/>
      <c r="I356" s="30"/>
      <c r="J356" s="30"/>
      <c r="K356" s="30"/>
      <c r="L356" s="27"/>
      <c r="N356" s="34"/>
      <c r="O356" s="32"/>
      <c r="P356" s="31"/>
      <c r="Q356" s="33"/>
      <c r="R356" s="33"/>
      <c r="S356" s="31"/>
    </row>
    <row r="357" spans="1:62" ht="15" x14ac:dyDescent="0.35">
      <c r="B357" s="30"/>
      <c r="C357" s="30"/>
      <c r="D357" s="25" t="s">
        <v>139</v>
      </c>
      <c r="E357" s="88">
        <f>H211*C190</f>
        <v>15322.4516288383</v>
      </c>
      <c r="F357" s="30" t="s">
        <v>38</v>
      </c>
      <c r="O357" s="32"/>
      <c r="P357" s="31"/>
      <c r="Q357" s="33"/>
      <c r="R357" s="33"/>
      <c r="S357" s="31"/>
      <c r="V357" s="41"/>
      <c r="AF357" s="79"/>
      <c r="AG357" s="79"/>
      <c r="AH357" s="79"/>
      <c r="AI357" s="79"/>
      <c r="AJ357" s="79"/>
      <c r="AK357" s="79"/>
      <c r="AL357" s="79"/>
      <c r="AM357" s="79"/>
      <c r="AN357" s="79"/>
      <c r="AO357" s="79"/>
      <c r="AP357" s="79"/>
      <c r="AQ357" s="79"/>
      <c r="AR357" s="79"/>
      <c r="AS357" s="79"/>
      <c r="AT357" s="79"/>
      <c r="AU357" s="79"/>
      <c r="AV357" s="79"/>
      <c r="AW357" s="79"/>
      <c r="AX357" s="79"/>
      <c r="AY357" s="79"/>
      <c r="AZ357" s="79"/>
      <c r="BA357" s="79"/>
      <c r="BB357" s="79"/>
      <c r="BC357" s="79"/>
      <c r="BD357" s="79"/>
      <c r="BE357" s="79"/>
      <c r="BF357" s="79"/>
      <c r="BG357" s="79"/>
      <c r="BH357" s="79"/>
      <c r="BI357" s="79"/>
      <c r="BJ357" s="79"/>
    </row>
    <row r="358" spans="1:62" ht="15" x14ac:dyDescent="0.35">
      <c r="B358" s="30"/>
      <c r="C358" s="30"/>
      <c r="D358" s="25" t="s">
        <v>143</v>
      </c>
      <c r="E358" s="88">
        <f>E357/2</f>
        <v>7661.2258144191501</v>
      </c>
      <c r="F358" s="30" t="s">
        <v>38</v>
      </c>
      <c r="O358" s="32"/>
      <c r="P358" s="31"/>
      <c r="Q358" s="33"/>
      <c r="R358" s="33"/>
      <c r="S358" s="31"/>
      <c r="V358" s="41"/>
      <c r="AA358" s="79"/>
      <c r="AF358" s="79"/>
      <c r="AG358" s="79"/>
      <c r="AH358" s="79"/>
      <c r="AI358" s="79"/>
      <c r="AJ358" s="79"/>
      <c r="AK358" s="79"/>
      <c r="AL358" s="79"/>
      <c r="AM358" s="79"/>
      <c r="AN358" s="79"/>
      <c r="AO358" s="79"/>
      <c r="AP358" s="79"/>
      <c r="AQ358" s="79"/>
      <c r="AR358" s="79"/>
      <c r="AS358" s="79"/>
      <c r="AT358" s="79"/>
      <c r="AU358" s="79"/>
      <c r="AV358" s="79"/>
      <c r="AW358" s="79"/>
      <c r="AX358" s="79"/>
      <c r="AY358" s="79"/>
      <c r="AZ358" s="79"/>
      <c r="BA358" s="79"/>
      <c r="BB358" s="79"/>
      <c r="BC358" s="79"/>
      <c r="BD358" s="79"/>
      <c r="BE358" s="79"/>
      <c r="BF358" s="79"/>
      <c r="BG358" s="79"/>
      <c r="BH358" s="79"/>
      <c r="BI358" s="79"/>
      <c r="BJ358" s="79"/>
    </row>
    <row r="359" spans="1:62" ht="15" x14ac:dyDescent="0.35">
      <c r="B359" s="30"/>
      <c r="C359" s="45"/>
      <c r="D359" s="25" t="s">
        <v>144</v>
      </c>
      <c r="E359" s="116">
        <f>$E$309*H210*C190</f>
        <v>6594.7578275166388</v>
      </c>
      <c r="F359" s="30" t="s">
        <v>38</v>
      </c>
      <c r="O359" s="32"/>
      <c r="P359" s="31"/>
      <c r="Q359" s="33"/>
      <c r="R359" s="33"/>
      <c r="S359" s="31"/>
      <c r="V359" s="41"/>
      <c r="X359" s="56"/>
      <c r="Y359" s="109"/>
      <c r="Z359" s="109"/>
      <c r="AC359" s="56"/>
      <c r="AD359" s="109"/>
      <c r="AE359" s="109"/>
      <c r="AF359" s="79"/>
      <c r="AG359" s="79"/>
      <c r="AH359" s="79"/>
      <c r="AI359" s="79"/>
      <c r="AJ359" s="79"/>
      <c r="AK359" s="79"/>
      <c r="AL359" s="79"/>
      <c r="AM359" s="79"/>
      <c r="AN359" s="79"/>
      <c r="AO359" s="79"/>
      <c r="AP359" s="79"/>
      <c r="AQ359" s="79"/>
      <c r="AR359" s="79"/>
      <c r="AS359" s="79"/>
      <c r="AT359" s="79"/>
      <c r="AU359" s="79"/>
      <c r="AV359" s="79"/>
      <c r="AW359" s="79"/>
      <c r="AX359" s="79"/>
      <c r="AY359" s="79"/>
      <c r="AZ359" s="79"/>
      <c r="BA359" s="79"/>
      <c r="BB359" s="79"/>
      <c r="BC359" s="79"/>
      <c r="BD359" s="79"/>
      <c r="BE359" s="79"/>
      <c r="BF359" s="79"/>
      <c r="BG359" s="79"/>
      <c r="BH359" s="79"/>
      <c r="BI359" s="79"/>
      <c r="BJ359" s="79"/>
    </row>
    <row r="360" spans="1:62" ht="15" x14ac:dyDescent="0.35">
      <c r="B360" s="30"/>
      <c r="C360" s="45"/>
      <c r="D360" s="25" t="s">
        <v>145</v>
      </c>
      <c r="E360" s="116">
        <f>E359/2</f>
        <v>3297.3789137583194</v>
      </c>
      <c r="F360" s="30" t="s">
        <v>38</v>
      </c>
      <c r="O360" s="32"/>
      <c r="P360" s="31"/>
      <c r="Q360" s="33"/>
      <c r="R360" s="33"/>
      <c r="S360" s="31"/>
      <c r="V360" s="41"/>
      <c r="W360" s="110"/>
      <c r="X360" s="111"/>
      <c r="Y360" s="109"/>
      <c r="Z360" s="112"/>
      <c r="AA360" s="79"/>
      <c r="AB360" s="110"/>
      <c r="AC360" s="111"/>
      <c r="AD360" s="109"/>
      <c r="AE360" s="112"/>
      <c r="AF360" s="79"/>
      <c r="AG360" s="79"/>
      <c r="AH360" s="79"/>
      <c r="AI360" s="79"/>
      <c r="AJ360" s="79"/>
      <c r="AK360" s="79"/>
      <c r="AL360" s="79"/>
      <c r="AM360" s="79"/>
      <c r="AN360" s="79"/>
      <c r="AO360" s="79"/>
      <c r="AP360" s="79"/>
      <c r="AQ360" s="79"/>
      <c r="AR360" s="79"/>
      <c r="AS360" s="79"/>
      <c r="AT360" s="79"/>
      <c r="AU360" s="79"/>
      <c r="AV360" s="79"/>
      <c r="AW360" s="79"/>
      <c r="AX360" s="79"/>
      <c r="AY360" s="79"/>
      <c r="AZ360" s="79"/>
      <c r="BA360" s="79"/>
      <c r="BB360" s="79"/>
      <c r="BC360" s="79"/>
      <c r="BD360" s="79"/>
      <c r="BE360" s="79"/>
      <c r="BF360" s="79"/>
      <c r="BG360" s="79"/>
      <c r="BH360" s="79"/>
      <c r="BI360" s="79"/>
      <c r="BJ360" s="79"/>
    </row>
    <row r="361" spans="1:62" ht="15" x14ac:dyDescent="0.35">
      <c r="B361" s="25"/>
      <c r="C361" s="66"/>
      <c r="D361" s="25" t="s">
        <v>141</v>
      </c>
      <c r="E361" s="82">
        <f>C158</f>
        <v>13624</v>
      </c>
      <c r="F361" s="71" t="s">
        <v>75</v>
      </c>
      <c r="O361" s="32"/>
      <c r="P361" s="31"/>
      <c r="Q361" s="33"/>
      <c r="R361" s="33"/>
      <c r="S361" s="31"/>
      <c r="V361" s="41"/>
      <c r="W361" s="41"/>
      <c r="X361" s="113"/>
      <c r="Y361" s="56"/>
      <c r="Z361" s="109"/>
      <c r="AA361" s="79"/>
      <c r="AB361" s="41"/>
      <c r="AC361" s="113"/>
      <c r="AD361" s="56"/>
      <c r="AE361" s="109"/>
      <c r="AF361" s="79"/>
      <c r="AG361" s="79"/>
      <c r="AH361" s="79"/>
      <c r="AI361" s="79"/>
      <c r="AJ361" s="79"/>
      <c r="AK361" s="79"/>
      <c r="AL361" s="79"/>
      <c r="AM361" s="79"/>
      <c r="AN361" s="79"/>
      <c r="AO361" s="79"/>
      <c r="AP361" s="79"/>
      <c r="AQ361" s="79"/>
      <c r="AR361" s="79"/>
      <c r="AS361" s="79"/>
      <c r="AT361" s="79"/>
      <c r="AU361" s="79"/>
      <c r="AV361" s="79"/>
      <c r="AW361" s="79"/>
      <c r="AX361" s="79"/>
      <c r="AY361" s="79"/>
      <c r="AZ361" s="79"/>
      <c r="BA361" s="79"/>
      <c r="BB361" s="79"/>
      <c r="BC361" s="79"/>
      <c r="BD361" s="79"/>
      <c r="BE361" s="79"/>
      <c r="BF361" s="79"/>
      <c r="BG361" s="79"/>
      <c r="BH361" s="79"/>
      <c r="BI361" s="79"/>
      <c r="BJ361" s="79"/>
    </row>
    <row r="362" spans="1:62" x14ac:dyDescent="0.3">
      <c r="B362" s="67"/>
      <c r="C362" s="68"/>
      <c r="D362" s="72" t="s">
        <v>76</v>
      </c>
      <c r="E362" s="68">
        <f>(C206-C192)/12</f>
        <v>5.1174999999999997</v>
      </c>
      <c r="F362" s="27" t="s">
        <v>77</v>
      </c>
      <c r="O362" s="32"/>
      <c r="P362" s="31"/>
      <c r="Q362" s="33"/>
      <c r="R362" s="33"/>
      <c r="S362" s="31"/>
      <c r="V362" s="41"/>
      <c r="W362" s="114"/>
      <c r="X362" s="115"/>
      <c r="Y362" s="112"/>
      <c r="Z362" s="109"/>
      <c r="AA362" s="79"/>
      <c r="AB362" s="114"/>
      <c r="AC362" s="115"/>
      <c r="AD362" s="112"/>
      <c r="AE362" s="109"/>
      <c r="AF362" s="88"/>
      <c r="AG362" s="88"/>
      <c r="AH362" s="88"/>
      <c r="AI362" s="88"/>
      <c r="AJ362" s="88"/>
      <c r="AK362" s="88"/>
      <c r="AL362" s="88"/>
      <c r="AM362" s="88"/>
      <c r="AN362" s="88"/>
      <c r="AO362" s="88"/>
      <c r="AP362" s="88"/>
      <c r="AQ362" s="88"/>
      <c r="AR362" s="88"/>
      <c r="AS362" s="88"/>
      <c r="AT362" s="88"/>
      <c r="AU362" s="88"/>
      <c r="AV362" s="88"/>
      <c r="AW362" s="88"/>
      <c r="AX362" s="88"/>
      <c r="AY362" s="88"/>
      <c r="AZ362" s="88"/>
      <c r="BA362" s="88"/>
      <c r="BB362" s="88"/>
      <c r="BC362" s="88"/>
      <c r="BD362" s="88"/>
      <c r="BE362" s="88"/>
      <c r="BF362" s="88"/>
      <c r="BG362" s="88"/>
      <c r="BH362" s="88"/>
      <c r="BI362" s="88"/>
      <c r="BJ362" s="88"/>
    </row>
    <row r="363" spans="1:62" x14ac:dyDescent="0.3">
      <c r="B363" s="67"/>
      <c r="C363" s="69"/>
      <c r="D363" s="67" t="s">
        <v>78</v>
      </c>
      <c r="E363" s="73">
        <f>-(E362*C190*H210+(F198/12)*E359)</f>
        <v>-131075.85147089144</v>
      </c>
      <c r="F363" s="27" t="s">
        <v>79</v>
      </c>
      <c r="G363" s="124" t="str">
        <f>"= "&amp;[1]!xln(E363)</f>
        <v>=  - (5.12 × 6989 × 2.86 + (52.4 / 12) × 6595)</v>
      </c>
      <c r="O363" s="32"/>
      <c r="P363" s="31"/>
      <c r="Q363" s="33"/>
      <c r="R363" s="33"/>
      <c r="S363" s="31"/>
      <c r="V363" s="41"/>
      <c r="X363" s="56"/>
      <c r="Y363" s="56"/>
      <c r="Z363" s="56"/>
      <c r="AA363" s="79"/>
      <c r="AC363" s="56"/>
      <c r="AD363" s="56"/>
      <c r="AE363" s="56"/>
      <c r="AF363" s="88"/>
      <c r="AG363" s="88"/>
      <c r="AH363" s="88"/>
      <c r="AI363" s="88"/>
      <c r="AJ363" s="88"/>
      <c r="AK363" s="88"/>
      <c r="AL363" s="88"/>
      <c r="AM363" s="88"/>
      <c r="AN363" s="88"/>
      <c r="AO363" s="88"/>
      <c r="AP363" s="88"/>
      <c r="AQ363" s="88"/>
      <c r="AR363" s="88"/>
      <c r="AS363" s="88"/>
      <c r="AT363" s="88"/>
      <c r="AU363" s="88"/>
      <c r="AV363" s="88"/>
      <c r="AW363" s="88"/>
      <c r="AX363" s="88"/>
      <c r="AY363" s="88"/>
      <c r="AZ363" s="88"/>
      <c r="BA363" s="88"/>
      <c r="BB363" s="88"/>
      <c r="BC363" s="88"/>
      <c r="BD363" s="88"/>
      <c r="BE363" s="88"/>
      <c r="BF363" s="88"/>
      <c r="BG363" s="88"/>
      <c r="BH363" s="88"/>
      <c r="BI363" s="88"/>
      <c r="BJ363" s="88"/>
    </row>
    <row r="364" spans="1:62" x14ac:dyDescent="0.3">
      <c r="D364" s="67" t="s">
        <v>80</v>
      </c>
      <c r="E364" s="82">
        <f>-(E362*C190*H210-(F198/12)*E359)</f>
        <v>-73461.561755268543</v>
      </c>
      <c r="F364" s="27" t="s">
        <v>79</v>
      </c>
      <c r="G364" s="124" t="str">
        <f>"= "&amp;[1]!xln(E364)</f>
        <v>=  - (5.12 × 6989 × 2.86 - (52.4 / 12) × 6595)</v>
      </c>
      <c r="O364" s="32"/>
      <c r="P364" s="31"/>
      <c r="Q364" s="33"/>
      <c r="R364" s="33"/>
      <c r="S364" s="31"/>
      <c r="V364" s="41"/>
      <c r="W364" s="45"/>
      <c r="X364" s="56"/>
      <c r="Y364" s="56"/>
      <c r="Z364" s="56"/>
      <c r="AA364" s="79"/>
      <c r="AB364" s="45"/>
      <c r="AC364" s="56"/>
      <c r="AD364" s="56"/>
      <c r="AE364" s="56"/>
      <c r="AF364" s="88"/>
      <c r="AG364" s="88"/>
      <c r="AH364" s="88"/>
      <c r="AI364" s="88"/>
      <c r="AJ364" s="88"/>
      <c r="AK364" s="88"/>
      <c r="AL364" s="88"/>
      <c r="AM364" s="88"/>
      <c r="AN364" s="88"/>
      <c r="AO364" s="88"/>
      <c r="AP364" s="88"/>
      <c r="AQ364" s="88"/>
      <c r="AR364" s="88"/>
      <c r="AS364" s="88"/>
      <c r="AT364" s="88"/>
      <c r="AU364" s="88"/>
      <c r="AV364" s="88"/>
      <c r="AW364" s="88"/>
      <c r="AX364" s="88"/>
      <c r="AY364" s="88"/>
      <c r="AZ364" s="88"/>
      <c r="BA364" s="88"/>
      <c r="BB364" s="88"/>
      <c r="BC364" s="88"/>
      <c r="BD364" s="88"/>
      <c r="BE364" s="88"/>
      <c r="BF364" s="88"/>
      <c r="BG364" s="88"/>
      <c r="BH364" s="88"/>
      <c r="BI364" s="88"/>
      <c r="BJ364" s="88"/>
    </row>
    <row r="365" spans="1:62" x14ac:dyDescent="0.3">
      <c r="B365" s="25"/>
      <c r="C365" s="68"/>
      <c r="D365" s="67" t="s">
        <v>81</v>
      </c>
      <c r="E365" s="68">
        <f>E363/E361</f>
        <v>-9.6209521044400645</v>
      </c>
      <c r="F365" s="27" t="s">
        <v>82</v>
      </c>
      <c r="G365" s="124" t="str">
        <f>"= "&amp;[1]!xln(E365)</f>
        <v>= (-131076) / 13624</v>
      </c>
      <c r="O365" s="32"/>
      <c r="P365" s="31"/>
      <c r="Q365" s="33"/>
      <c r="R365" s="33"/>
      <c r="S365" s="31"/>
      <c r="V365" s="41"/>
      <c r="X365" s="56"/>
      <c r="Y365" s="56"/>
      <c r="Z365" s="56"/>
      <c r="AA365" s="79"/>
      <c r="AC365" s="56"/>
      <c r="AD365" s="56"/>
      <c r="AE365" s="56"/>
      <c r="AF365" s="88"/>
      <c r="AG365" s="88"/>
      <c r="AH365" s="88"/>
      <c r="AI365" s="88"/>
      <c r="AJ365" s="88"/>
      <c r="AK365" s="88"/>
      <c r="AL365" s="88"/>
      <c r="AM365" s="88"/>
      <c r="AN365" s="88"/>
      <c r="AO365" s="88"/>
      <c r="AP365" s="88"/>
      <c r="AQ365" s="88"/>
      <c r="AR365" s="88"/>
      <c r="AS365" s="88"/>
      <c r="AT365" s="88"/>
      <c r="AU365" s="88"/>
      <c r="AV365" s="88"/>
      <c r="AW365" s="88"/>
      <c r="AX365" s="88"/>
      <c r="AY365" s="88"/>
      <c r="AZ365" s="88"/>
      <c r="BA365" s="88"/>
      <c r="BB365" s="88"/>
      <c r="BC365" s="88"/>
      <c r="BD365" s="88"/>
      <c r="BE365" s="88"/>
      <c r="BF365" s="88"/>
      <c r="BG365" s="88"/>
      <c r="BH365" s="88"/>
      <c r="BI365" s="88"/>
      <c r="BJ365" s="88"/>
    </row>
    <row r="366" spans="1:62" x14ac:dyDescent="0.3">
      <c r="D366" s="67" t="s">
        <v>83</v>
      </c>
      <c r="E366" s="50">
        <f>E364/E361</f>
        <v>-5.3920700055247019</v>
      </c>
      <c r="F366" s="27" t="s">
        <v>82</v>
      </c>
      <c r="G366" s="124" t="str">
        <f>"= "&amp;[1]!xln(E366)</f>
        <v>= (-73462) / 13624</v>
      </c>
      <c r="L366" s="27"/>
      <c r="N366" s="34"/>
      <c r="O366" s="32"/>
      <c r="P366" s="31"/>
      <c r="Q366" s="33"/>
      <c r="R366" s="33"/>
      <c r="S366" s="31"/>
      <c r="X366" s="56"/>
      <c r="Y366" s="56"/>
      <c r="Z366" s="56"/>
      <c r="AA366" s="88"/>
      <c r="AC366" s="56"/>
      <c r="AD366" s="56"/>
      <c r="AE366" s="56"/>
      <c r="AF366" s="88"/>
      <c r="AG366" s="88"/>
      <c r="AH366" s="88"/>
      <c r="AI366" s="88"/>
      <c r="AJ366" s="88"/>
      <c r="AK366" s="88"/>
      <c r="AL366" s="88"/>
      <c r="AM366" s="88"/>
      <c r="AN366" s="88"/>
      <c r="AO366" s="88"/>
      <c r="AP366" s="88"/>
      <c r="AQ366" s="88"/>
      <c r="AR366" s="88"/>
      <c r="AS366" s="88"/>
      <c r="AT366" s="88"/>
      <c r="AU366" s="88"/>
      <c r="AV366" s="88"/>
      <c r="AW366" s="88"/>
      <c r="AX366" s="88"/>
      <c r="AY366" s="88"/>
      <c r="AZ366" s="88"/>
      <c r="BA366" s="88"/>
      <c r="BB366" s="88"/>
      <c r="BC366" s="88"/>
      <c r="BD366" s="88"/>
      <c r="BE366" s="88"/>
      <c r="BF366" s="88"/>
      <c r="BG366" s="88"/>
      <c r="BH366" s="88"/>
      <c r="BI366" s="88"/>
      <c r="BJ366" s="88"/>
    </row>
    <row r="367" spans="1:62" x14ac:dyDescent="0.3">
      <c r="A367" s="37"/>
      <c r="B367" s="49" t="str">
        <f>B212</f>
        <v>Max Aft CG Case</v>
      </c>
      <c r="C367" s="30"/>
      <c r="D367" s="30"/>
      <c r="E367" s="30"/>
      <c r="F367" s="30"/>
      <c r="G367" s="30"/>
      <c r="H367" s="30"/>
      <c r="I367" s="30"/>
      <c r="J367" s="30"/>
      <c r="K367" s="30"/>
      <c r="L367" s="27"/>
      <c r="N367" s="34"/>
      <c r="O367" s="32"/>
      <c r="P367" s="31"/>
      <c r="Q367" s="33"/>
      <c r="R367" s="33"/>
      <c r="S367" s="31"/>
      <c r="V367" s="41"/>
      <c r="W367" s="45"/>
      <c r="X367" s="56"/>
      <c r="Y367" s="56"/>
      <c r="Z367" s="56"/>
      <c r="AA367" s="88"/>
      <c r="AB367" s="45"/>
      <c r="AC367" s="56"/>
      <c r="AD367" s="56"/>
      <c r="AE367" s="56"/>
      <c r="AF367" s="88"/>
      <c r="AG367" s="88"/>
      <c r="AH367" s="88"/>
      <c r="AI367" s="88"/>
      <c r="AJ367" s="88"/>
      <c r="AK367" s="88"/>
      <c r="AL367" s="88"/>
      <c r="AM367" s="88"/>
      <c r="AN367" s="88"/>
      <c r="AO367" s="88"/>
      <c r="AP367" s="88"/>
      <c r="AQ367" s="88"/>
      <c r="AR367" s="88"/>
      <c r="AS367" s="88"/>
      <c r="AT367" s="88"/>
      <c r="AU367" s="88"/>
      <c r="AV367" s="88"/>
      <c r="AW367" s="88"/>
      <c r="AX367" s="88"/>
      <c r="AY367" s="88"/>
      <c r="AZ367" s="88"/>
      <c r="BA367" s="88"/>
      <c r="BB367" s="88"/>
      <c r="BC367" s="88"/>
      <c r="BD367" s="88"/>
      <c r="BE367" s="88"/>
      <c r="BF367" s="88"/>
      <c r="BG367" s="88"/>
      <c r="BH367" s="88"/>
      <c r="BI367" s="88"/>
      <c r="BJ367" s="88"/>
    </row>
    <row r="368" spans="1:62" ht="15" x14ac:dyDescent="0.35">
      <c r="B368" s="30"/>
      <c r="C368" s="30"/>
      <c r="D368" s="25" t="s">
        <v>139</v>
      </c>
      <c r="E368" s="88">
        <f>H234*C214</f>
        <v>14351.233132404566</v>
      </c>
      <c r="F368" s="30" t="s">
        <v>38</v>
      </c>
      <c r="O368" s="32"/>
      <c r="P368" s="31"/>
      <c r="Q368" s="33"/>
      <c r="R368" s="33"/>
      <c r="S368" s="31"/>
      <c r="V368" s="41"/>
      <c r="W368" s="45"/>
      <c r="X368" s="56"/>
      <c r="Y368" s="56"/>
      <c r="Z368" s="56"/>
      <c r="AA368" s="88"/>
      <c r="AB368" s="45"/>
      <c r="AC368" s="56"/>
      <c r="AD368" s="56"/>
      <c r="AE368" s="56"/>
      <c r="AF368" s="88"/>
      <c r="AG368" s="88"/>
      <c r="AH368" s="88"/>
      <c r="AI368" s="88"/>
      <c r="AJ368" s="88"/>
      <c r="AK368" s="88"/>
      <c r="AL368" s="88"/>
      <c r="AM368" s="88"/>
      <c r="AN368" s="88"/>
      <c r="AO368" s="88"/>
      <c r="AP368" s="88"/>
      <c r="AQ368" s="88"/>
      <c r="AR368" s="88"/>
      <c r="AS368" s="88"/>
      <c r="AT368" s="88"/>
      <c r="AU368" s="88"/>
      <c r="AV368" s="88"/>
      <c r="AW368" s="88"/>
      <c r="AX368" s="88"/>
      <c r="AY368" s="88"/>
      <c r="AZ368" s="88"/>
      <c r="BA368" s="88"/>
      <c r="BB368" s="88"/>
      <c r="BC368" s="88"/>
      <c r="BD368" s="88"/>
      <c r="BE368" s="88"/>
      <c r="BF368" s="88"/>
      <c r="BG368" s="88"/>
      <c r="BH368" s="88"/>
      <c r="BI368" s="88"/>
      <c r="BJ368" s="88"/>
    </row>
    <row r="369" spans="1:62" ht="15" x14ac:dyDescent="0.35">
      <c r="B369" s="30"/>
      <c r="C369" s="30"/>
      <c r="D369" s="25" t="s">
        <v>143</v>
      </c>
      <c r="E369" s="88">
        <f>E368/2</f>
        <v>7175.6165662022831</v>
      </c>
      <c r="F369" s="30" t="s">
        <v>38</v>
      </c>
      <c r="O369" s="32"/>
      <c r="P369" s="31"/>
      <c r="Q369" s="33"/>
      <c r="R369" s="33"/>
      <c r="S369" s="31"/>
      <c r="V369" s="41"/>
      <c r="W369" s="119"/>
      <c r="X369" s="112"/>
      <c r="Y369" s="109"/>
      <c r="Z369" s="125"/>
      <c r="AA369" s="88"/>
      <c r="AB369" s="119"/>
      <c r="AC369" s="115"/>
      <c r="AD369" s="109"/>
      <c r="AE369" s="109"/>
      <c r="AF369" s="88"/>
      <c r="AG369" s="88"/>
      <c r="AH369" s="88"/>
      <c r="AI369" s="88"/>
      <c r="AJ369" s="88"/>
      <c r="AK369" s="88"/>
      <c r="AL369" s="88"/>
      <c r="AM369" s="88"/>
      <c r="AN369" s="88"/>
      <c r="AO369" s="88"/>
      <c r="AP369" s="88"/>
      <c r="AQ369" s="88"/>
      <c r="AR369" s="88"/>
      <c r="AS369" s="88"/>
      <c r="AT369" s="88"/>
      <c r="AU369" s="88"/>
      <c r="AV369" s="88"/>
      <c r="AW369" s="88"/>
      <c r="AX369" s="88"/>
      <c r="AY369" s="88"/>
      <c r="AZ369" s="88"/>
      <c r="BA369" s="88"/>
      <c r="BB369" s="88"/>
      <c r="BC369" s="88"/>
      <c r="BD369" s="88"/>
      <c r="BE369" s="88"/>
      <c r="BF369" s="88"/>
      <c r="BG369" s="88"/>
      <c r="BH369" s="88"/>
      <c r="BI369" s="88"/>
      <c r="BJ369" s="88"/>
    </row>
    <row r="370" spans="1:62" ht="15" x14ac:dyDescent="0.35">
      <c r="B370" s="30"/>
      <c r="C370" s="45"/>
      <c r="D370" s="25" t="s">
        <v>144</v>
      </c>
      <c r="E370" s="116">
        <f>$E$309*H233*C214</f>
        <v>6176.7469936935067</v>
      </c>
      <c r="F370" s="30" t="s">
        <v>38</v>
      </c>
      <c r="O370" s="32"/>
      <c r="P370" s="31"/>
      <c r="Q370" s="33"/>
      <c r="R370" s="33"/>
      <c r="S370" s="31"/>
      <c r="V370" s="41"/>
      <c r="W370" s="114"/>
      <c r="X370" s="58"/>
      <c r="Z370" s="41"/>
      <c r="AA370" s="88"/>
      <c r="AB370" s="114"/>
      <c r="AC370" s="58"/>
      <c r="AE370" s="41"/>
      <c r="AF370" s="88"/>
      <c r="AG370" s="88"/>
      <c r="AH370" s="88"/>
      <c r="AI370" s="88"/>
      <c r="AJ370" s="88"/>
      <c r="AK370" s="88"/>
      <c r="AL370" s="88"/>
      <c r="AM370" s="88"/>
      <c r="AN370" s="88"/>
      <c r="AO370" s="88"/>
      <c r="AP370" s="88"/>
      <c r="AQ370" s="88"/>
      <c r="AR370" s="88"/>
      <c r="AS370" s="88"/>
      <c r="AT370" s="88"/>
      <c r="AU370" s="88"/>
      <c r="AV370" s="88"/>
      <c r="AW370" s="88"/>
      <c r="AX370" s="88"/>
      <c r="AY370" s="88"/>
      <c r="AZ370" s="88"/>
      <c r="BA370" s="88"/>
      <c r="BB370" s="88"/>
      <c r="BC370" s="88"/>
      <c r="BD370" s="88"/>
      <c r="BE370" s="88"/>
      <c r="BF370" s="88"/>
      <c r="BG370" s="88"/>
      <c r="BH370" s="88"/>
      <c r="BI370" s="88"/>
      <c r="BJ370" s="88"/>
    </row>
    <row r="371" spans="1:62" ht="15" x14ac:dyDescent="0.35">
      <c r="B371" s="30"/>
      <c r="C371" s="45"/>
      <c r="D371" s="25" t="s">
        <v>145</v>
      </c>
      <c r="E371" s="116">
        <f>E370/2</f>
        <v>3088.3734968467534</v>
      </c>
      <c r="F371" s="30" t="s">
        <v>38</v>
      </c>
      <c r="O371" s="32"/>
      <c r="P371" s="31"/>
      <c r="Q371" s="33"/>
      <c r="R371" s="33"/>
      <c r="S371" s="31"/>
      <c r="V371" s="41"/>
      <c r="W371" s="41"/>
      <c r="X371" s="56"/>
      <c r="Y371" s="56"/>
      <c r="Z371" s="56"/>
      <c r="AA371" s="88"/>
      <c r="AB371" s="41"/>
      <c r="AC371" s="56"/>
      <c r="AD371" s="56"/>
      <c r="AE371" s="56"/>
      <c r="AF371" s="88"/>
      <c r="AG371" s="88"/>
      <c r="AH371" s="88"/>
      <c r="AI371" s="88"/>
      <c r="AJ371" s="88"/>
      <c r="AK371" s="88"/>
      <c r="AL371" s="88"/>
      <c r="AM371" s="88"/>
      <c r="AN371" s="88"/>
      <c r="AO371" s="88"/>
      <c r="AP371" s="88"/>
      <c r="AQ371" s="88"/>
      <c r="AR371" s="88"/>
      <c r="AS371" s="88"/>
      <c r="AT371" s="88"/>
      <c r="AU371" s="88"/>
      <c r="AV371" s="88"/>
      <c r="AW371" s="88"/>
      <c r="AX371" s="88"/>
      <c r="AY371" s="88"/>
      <c r="AZ371" s="88"/>
      <c r="BA371" s="88"/>
      <c r="BB371" s="88"/>
      <c r="BC371" s="88"/>
      <c r="BD371" s="88"/>
      <c r="BE371" s="88"/>
      <c r="BF371" s="88"/>
      <c r="BG371" s="88"/>
      <c r="BH371" s="88"/>
      <c r="BI371" s="88"/>
      <c r="BJ371" s="88"/>
    </row>
    <row r="372" spans="1:62" ht="15" x14ac:dyDescent="0.35">
      <c r="B372" s="25"/>
      <c r="C372" s="66"/>
      <c r="D372" s="25" t="s">
        <v>141</v>
      </c>
      <c r="E372" s="82">
        <f>C165</f>
        <v>13169</v>
      </c>
      <c r="F372" s="71" t="s">
        <v>75</v>
      </c>
      <c r="O372" s="32"/>
      <c r="P372" s="31"/>
      <c r="Q372" s="33"/>
      <c r="R372" s="33"/>
      <c r="S372" s="31"/>
      <c r="V372" s="41"/>
      <c r="X372" s="56"/>
      <c r="Y372" s="56"/>
      <c r="Z372" s="120"/>
      <c r="AA372" s="88"/>
      <c r="AC372" s="56"/>
      <c r="AD372" s="56"/>
      <c r="AE372" s="120"/>
      <c r="AF372" s="88"/>
      <c r="AG372" s="88"/>
      <c r="AH372" s="88"/>
      <c r="AI372" s="88"/>
      <c r="AJ372" s="88"/>
      <c r="AK372" s="88"/>
      <c r="AL372" s="88"/>
      <c r="AM372" s="88"/>
      <c r="AN372" s="88"/>
      <c r="AO372" s="88"/>
      <c r="AP372" s="88"/>
      <c r="AQ372" s="88"/>
      <c r="AR372" s="88"/>
      <c r="AS372" s="88"/>
      <c r="AT372" s="88"/>
      <c r="AU372" s="88"/>
      <c r="AV372" s="88"/>
      <c r="AW372" s="88"/>
      <c r="AX372" s="88"/>
      <c r="AY372" s="88"/>
      <c r="AZ372" s="88"/>
      <c r="BA372" s="88"/>
      <c r="BB372" s="88"/>
      <c r="BC372" s="88"/>
      <c r="BD372" s="88"/>
      <c r="BE372" s="88"/>
      <c r="BF372" s="88"/>
      <c r="BG372" s="88"/>
      <c r="BH372" s="88"/>
      <c r="BI372" s="88"/>
      <c r="BJ372" s="88"/>
    </row>
    <row r="373" spans="1:62" x14ac:dyDescent="0.3">
      <c r="B373" s="67"/>
      <c r="C373" s="68"/>
      <c r="D373" s="72" t="s">
        <v>76</v>
      </c>
      <c r="E373" s="68">
        <f>(C230-C216)/12</f>
        <v>3.1716666666666669</v>
      </c>
      <c r="F373" s="27" t="s">
        <v>77</v>
      </c>
      <c r="O373" s="32"/>
      <c r="P373" s="31"/>
      <c r="Q373" s="33"/>
      <c r="R373" s="33"/>
      <c r="S373" s="31"/>
      <c r="V373" s="41"/>
      <c r="X373" s="56"/>
      <c r="Y373" s="56"/>
      <c r="Z373" s="56"/>
      <c r="AA373" s="88"/>
      <c r="AC373" s="56"/>
      <c r="AD373" s="56"/>
      <c r="AE373" s="56"/>
      <c r="AF373" s="88"/>
      <c r="AG373" s="88"/>
      <c r="AH373" s="88"/>
      <c r="AI373" s="88"/>
      <c r="AJ373" s="88"/>
      <c r="AK373" s="88"/>
      <c r="AL373" s="88"/>
      <c r="AM373" s="88"/>
      <c r="AN373" s="88"/>
      <c r="AO373" s="88"/>
      <c r="AP373" s="88"/>
      <c r="AQ373" s="88"/>
      <c r="AR373" s="88"/>
      <c r="AS373" s="88"/>
      <c r="AT373" s="88"/>
      <c r="AU373" s="88"/>
      <c r="AV373" s="88"/>
      <c r="AW373" s="88"/>
      <c r="AX373" s="88"/>
      <c r="AY373" s="88"/>
      <c r="AZ373" s="88"/>
      <c r="BA373" s="88"/>
      <c r="BB373" s="88"/>
      <c r="BC373" s="88"/>
      <c r="BD373" s="88"/>
      <c r="BE373" s="88"/>
      <c r="BF373" s="88"/>
      <c r="BG373" s="88"/>
      <c r="BH373" s="88"/>
      <c r="BI373" s="88"/>
      <c r="BJ373" s="88"/>
    </row>
    <row r="374" spans="1:62" x14ac:dyDescent="0.3">
      <c r="B374" s="67"/>
      <c r="C374" s="69"/>
      <c r="D374" s="67" t="s">
        <v>78</v>
      </c>
      <c r="E374" s="73">
        <f>-(E373*C214*H233+F222/12*E370)</f>
        <v>-84290.020795076154</v>
      </c>
      <c r="F374" s="27" t="s">
        <v>79</v>
      </c>
      <c r="G374" s="124" t="str">
        <f>"= "&amp;[1]!xln(E374)</f>
        <v>=  - (3.17 × 6546 × 2.86 + 48.4 / 12 × 6177)</v>
      </c>
      <c r="O374" s="32"/>
      <c r="P374" s="31"/>
      <c r="Q374" s="33"/>
      <c r="R374" s="33"/>
      <c r="S374" s="31"/>
      <c r="V374" s="41"/>
      <c r="W374" s="121"/>
      <c r="X374" s="56"/>
      <c r="Y374" s="126"/>
      <c r="Z374" s="109"/>
      <c r="AA374" s="127"/>
      <c r="AB374" s="128"/>
      <c r="AC374" s="56"/>
      <c r="AD374" s="129"/>
      <c r="AE374" s="109"/>
      <c r="AF374" s="88"/>
      <c r="AG374" s="88"/>
      <c r="AH374" s="88"/>
      <c r="AI374" s="88"/>
      <c r="AJ374" s="88"/>
      <c r="AK374" s="88"/>
      <c r="AL374" s="88"/>
      <c r="AM374" s="88"/>
      <c r="AN374" s="88"/>
      <c r="AO374" s="88"/>
      <c r="AP374" s="88"/>
      <c r="AQ374" s="88"/>
      <c r="AR374" s="88"/>
      <c r="AS374" s="88"/>
      <c r="AT374" s="88"/>
      <c r="AU374" s="88"/>
      <c r="AV374" s="88"/>
      <c r="AW374" s="88"/>
      <c r="AX374" s="88"/>
      <c r="AY374" s="88"/>
      <c r="AZ374" s="88"/>
      <c r="BA374" s="88"/>
      <c r="BB374" s="88"/>
      <c r="BC374" s="88"/>
      <c r="BD374" s="88"/>
      <c r="BE374" s="88"/>
      <c r="BF374" s="88"/>
      <c r="BG374" s="88"/>
      <c r="BH374" s="88"/>
      <c r="BI374" s="88"/>
      <c r="BJ374" s="88"/>
    </row>
    <row r="375" spans="1:62" x14ac:dyDescent="0.3">
      <c r="D375" s="67" t="s">
        <v>80</v>
      </c>
      <c r="E375" s="82">
        <f>-(E373*C214*H233-F222/12*E370)</f>
        <v>-34440.782528143463</v>
      </c>
      <c r="F375" s="27" t="s">
        <v>79</v>
      </c>
      <c r="G375" s="124" t="str">
        <f>"= "&amp;[1]!xln(E375)</f>
        <v>=  - (3.17 × 6546 × 2.86 - 48.4 / 12 × 6177)</v>
      </c>
      <c r="O375" s="32"/>
      <c r="P375" s="31"/>
      <c r="Q375" s="33"/>
      <c r="R375" s="33"/>
      <c r="S375" s="31"/>
      <c r="V375" s="41"/>
      <c r="AA375" s="88"/>
      <c r="AB375" s="88"/>
      <c r="AC375" s="88"/>
      <c r="AD375" s="88"/>
      <c r="AE375" s="88"/>
      <c r="AF375" s="88"/>
      <c r="AG375" s="88"/>
      <c r="AH375" s="88"/>
      <c r="AI375" s="88"/>
      <c r="AJ375" s="88"/>
      <c r="AK375" s="88"/>
      <c r="AL375" s="88"/>
      <c r="AM375" s="88"/>
      <c r="AN375" s="88"/>
      <c r="AO375" s="88"/>
      <c r="AP375" s="88"/>
      <c r="AQ375" s="88"/>
      <c r="AR375" s="88"/>
      <c r="AS375" s="88"/>
      <c r="AT375" s="88"/>
      <c r="AU375" s="88"/>
      <c r="AV375" s="88"/>
      <c r="AW375" s="88"/>
      <c r="AX375" s="88"/>
      <c r="AY375" s="88"/>
      <c r="AZ375" s="88"/>
      <c r="BA375" s="88"/>
      <c r="BB375" s="88"/>
      <c r="BC375" s="88"/>
      <c r="BD375" s="88"/>
      <c r="BE375" s="88"/>
      <c r="BF375" s="88"/>
      <c r="BG375" s="88"/>
      <c r="BH375" s="88"/>
      <c r="BI375" s="88"/>
      <c r="BJ375" s="88"/>
    </row>
    <row r="376" spans="1:62" x14ac:dyDescent="0.3">
      <c r="B376" s="25"/>
      <c r="C376" s="68"/>
      <c r="D376" s="67" t="s">
        <v>81</v>
      </c>
      <c r="E376" s="68">
        <f>E374/E372</f>
        <v>-6.4006394407378053</v>
      </c>
      <c r="F376" s="27" t="s">
        <v>82</v>
      </c>
      <c r="G376" s="124" t="str">
        <f>"= "&amp;[1]!xln(E376)</f>
        <v>= (-84290) / 13169</v>
      </c>
      <c r="O376" s="32"/>
      <c r="P376" s="31"/>
      <c r="Q376" s="33"/>
      <c r="R376" s="33"/>
      <c r="S376" s="31"/>
      <c r="V376" s="41"/>
      <c r="AA376" s="88"/>
      <c r="AB376" s="88"/>
      <c r="AC376" s="88"/>
      <c r="AD376" s="88"/>
      <c r="AE376" s="88"/>
      <c r="AF376" s="88"/>
      <c r="AG376" s="88"/>
      <c r="AH376" s="88"/>
      <c r="AI376" s="88"/>
      <c r="AJ376" s="88"/>
      <c r="AK376" s="88"/>
      <c r="AL376" s="88"/>
      <c r="AM376" s="88"/>
      <c r="AN376" s="88"/>
      <c r="AO376" s="88"/>
      <c r="AP376" s="88"/>
      <c r="AQ376" s="88"/>
      <c r="AR376" s="88"/>
      <c r="AS376" s="88"/>
      <c r="AT376" s="88"/>
      <c r="AU376" s="88"/>
      <c r="AV376" s="88"/>
      <c r="AW376" s="88"/>
      <c r="AX376" s="88"/>
      <c r="AY376" s="88"/>
      <c r="AZ376" s="88"/>
      <c r="BA376" s="88"/>
      <c r="BB376" s="88"/>
      <c r="BC376" s="88"/>
      <c r="BD376" s="88"/>
      <c r="BE376" s="88"/>
      <c r="BF376" s="88"/>
      <c r="BG376" s="88"/>
      <c r="BH376" s="88"/>
      <c r="BI376" s="88"/>
      <c r="BJ376" s="88"/>
    </row>
    <row r="377" spans="1:62" x14ac:dyDescent="0.3">
      <c r="D377" s="67" t="s">
        <v>83</v>
      </c>
      <c r="E377" s="50">
        <f>E375/E372</f>
        <v>-2.6152921655511778</v>
      </c>
      <c r="F377" s="27" t="s">
        <v>82</v>
      </c>
      <c r="G377" s="124" t="str">
        <f>"= "&amp;[1]!xln(E377)</f>
        <v>= (-34441) / 13169</v>
      </c>
      <c r="L377" s="27"/>
      <c r="N377" s="34"/>
      <c r="O377" s="32"/>
      <c r="P377" s="31"/>
      <c r="Q377" s="33"/>
      <c r="R377" s="33"/>
      <c r="S377" s="31"/>
      <c r="V377" s="41"/>
      <c r="AA377" s="88"/>
      <c r="AB377" s="88"/>
      <c r="AC377" s="88"/>
      <c r="AD377" s="88"/>
      <c r="AE377" s="88"/>
      <c r="AF377" s="88"/>
      <c r="AG377" s="88"/>
      <c r="AH377" s="88"/>
      <c r="AI377" s="88"/>
      <c r="AJ377" s="88"/>
      <c r="AK377" s="88"/>
      <c r="AL377" s="88"/>
      <c r="AM377" s="88"/>
      <c r="AN377" s="88"/>
      <c r="AO377" s="88"/>
      <c r="AP377" s="88"/>
      <c r="AQ377" s="88"/>
      <c r="AR377" s="88"/>
      <c r="AS377" s="88"/>
      <c r="AT377" s="88"/>
      <c r="AU377" s="88"/>
      <c r="AV377" s="88"/>
      <c r="AW377" s="88"/>
      <c r="AX377" s="88"/>
      <c r="AY377" s="88"/>
      <c r="AZ377" s="88"/>
      <c r="BA377" s="88"/>
      <c r="BB377" s="88"/>
      <c r="BC377" s="88"/>
      <c r="BD377" s="88"/>
      <c r="BE377" s="88"/>
      <c r="BF377" s="88"/>
      <c r="BG377" s="88"/>
      <c r="BH377" s="88"/>
      <c r="BI377" s="88"/>
      <c r="BJ377" s="88"/>
    </row>
    <row r="378" spans="1:62" x14ac:dyDescent="0.3">
      <c r="A378" s="37"/>
      <c r="B378" s="49" t="str">
        <f>B245</f>
        <v>Minimum Weight Case</v>
      </c>
      <c r="C378" s="30"/>
      <c r="D378" s="30"/>
      <c r="E378" s="30"/>
      <c r="F378" s="30"/>
      <c r="G378" s="30"/>
      <c r="H378" s="30"/>
      <c r="I378" s="30"/>
      <c r="J378" s="30"/>
      <c r="K378" s="30"/>
      <c r="L378" s="27"/>
      <c r="N378" s="34"/>
      <c r="O378" s="32"/>
      <c r="P378" s="31"/>
      <c r="Q378" s="33"/>
      <c r="R378" s="33"/>
      <c r="S378" s="31"/>
      <c r="V378" s="41"/>
      <c r="AA378" s="79"/>
    </row>
    <row r="379" spans="1:62" ht="15" x14ac:dyDescent="0.35">
      <c r="B379" s="30"/>
      <c r="C379" s="30"/>
      <c r="D379" s="25" t="s">
        <v>139</v>
      </c>
      <c r="E379" s="88">
        <f>H268*C248</f>
        <v>11560.350184413272</v>
      </c>
      <c r="F379" s="30" t="s">
        <v>38</v>
      </c>
      <c r="O379" s="32"/>
      <c r="P379" s="31"/>
      <c r="Q379" s="33"/>
      <c r="R379" s="33"/>
      <c r="S379" s="31"/>
      <c r="V379" s="104"/>
      <c r="W379" s="110"/>
      <c r="X379" s="111"/>
      <c r="Y379" s="109"/>
      <c r="Z379" s="112"/>
      <c r="AA379" s="79"/>
      <c r="AB379" s="110"/>
      <c r="AC379" s="111"/>
      <c r="AD379" s="109"/>
      <c r="AE379" s="112"/>
      <c r="AF379" s="99"/>
      <c r="AG379" s="99"/>
      <c r="AH379" s="99"/>
      <c r="AI379" s="99"/>
      <c r="AJ379" s="99"/>
      <c r="AK379" s="99"/>
      <c r="AL379" s="99"/>
      <c r="AM379" s="99"/>
      <c r="AN379" s="99"/>
      <c r="AO379" s="99"/>
      <c r="AP379" s="99"/>
      <c r="AQ379" s="99"/>
      <c r="AR379" s="99"/>
      <c r="AS379" s="99"/>
      <c r="AT379" s="99"/>
      <c r="AU379" s="99"/>
      <c r="AV379" s="99"/>
      <c r="AW379" s="99"/>
      <c r="AX379" s="99"/>
      <c r="AY379" s="99"/>
      <c r="AZ379" s="99"/>
      <c r="BA379" s="99"/>
      <c r="BB379" s="99"/>
      <c r="BC379" s="99"/>
      <c r="BD379" s="99"/>
      <c r="BE379" s="99"/>
      <c r="BF379" s="99"/>
      <c r="BG379" s="99"/>
      <c r="BH379" s="99"/>
      <c r="BI379" s="99"/>
      <c r="BJ379" s="99"/>
    </row>
    <row r="380" spans="1:62" ht="15" x14ac:dyDescent="0.35">
      <c r="B380" s="30"/>
      <c r="C380" s="30"/>
      <c r="D380" s="25" t="s">
        <v>143</v>
      </c>
      <c r="E380" s="88">
        <f>E379/2</f>
        <v>5780.1750922066358</v>
      </c>
      <c r="F380" s="30" t="s">
        <v>38</v>
      </c>
      <c r="O380" s="32"/>
      <c r="P380" s="31"/>
      <c r="Q380" s="33"/>
      <c r="R380" s="33"/>
      <c r="S380" s="31"/>
      <c r="V380" s="41"/>
      <c r="W380" s="41"/>
      <c r="X380" s="113"/>
      <c r="Y380" s="56"/>
      <c r="Z380" s="109"/>
      <c r="AA380" s="79"/>
      <c r="AB380" s="41"/>
      <c r="AC380" s="113"/>
      <c r="AD380" s="56"/>
      <c r="AE380" s="109"/>
    </row>
    <row r="381" spans="1:62" ht="15" x14ac:dyDescent="0.35">
      <c r="B381" s="30"/>
      <c r="C381" s="45"/>
      <c r="D381" s="25" t="s">
        <v>144</v>
      </c>
      <c r="E381" s="116">
        <f>$E$309*H267*C248</f>
        <v>4975.5555908563792</v>
      </c>
      <c r="F381" s="30" t="s">
        <v>38</v>
      </c>
      <c r="O381" s="32"/>
      <c r="P381" s="31"/>
      <c r="Q381" s="33"/>
      <c r="R381" s="33"/>
      <c r="S381" s="31"/>
      <c r="V381" s="105"/>
      <c r="W381" s="114"/>
      <c r="X381" s="115"/>
      <c r="Y381" s="112"/>
      <c r="Z381" s="109"/>
      <c r="AA381" s="79"/>
      <c r="AB381" s="114"/>
      <c r="AC381" s="115"/>
      <c r="AD381" s="112"/>
      <c r="AE381" s="109"/>
      <c r="AF381" s="100"/>
      <c r="AG381" s="100"/>
      <c r="AH381" s="100"/>
      <c r="AI381" s="100"/>
      <c r="AJ381" s="100"/>
      <c r="AK381" s="100"/>
      <c r="AL381" s="100"/>
      <c r="AM381" s="100"/>
      <c r="AN381" s="100"/>
      <c r="AO381" s="100"/>
      <c r="AP381" s="100"/>
      <c r="AQ381" s="100"/>
      <c r="AR381" s="100"/>
      <c r="AS381" s="100"/>
      <c r="AT381" s="100"/>
      <c r="AU381" s="100"/>
      <c r="AV381" s="100"/>
      <c r="AW381" s="100"/>
      <c r="AX381" s="100"/>
      <c r="AY381" s="100"/>
      <c r="AZ381" s="100"/>
      <c r="BA381" s="100"/>
      <c r="BB381" s="100"/>
      <c r="BC381" s="100"/>
      <c r="BD381" s="100"/>
      <c r="BE381" s="100"/>
      <c r="BF381" s="100"/>
      <c r="BG381" s="100"/>
      <c r="BH381" s="100"/>
      <c r="BI381" s="100"/>
      <c r="BJ381" s="100"/>
    </row>
    <row r="382" spans="1:62" ht="15" x14ac:dyDescent="0.35">
      <c r="B382" s="30"/>
      <c r="C382" s="45"/>
      <c r="D382" s="25" t="s">
        <v>145</v>
      </c>
      <c r="E382" s="116">
        <f>E381/2</f>
        <v>2487.7777954281896</v>
      </c>
      <c r="F382" s="30" t="s">
        <v>38</v>
      </c>
      <c r="O382" s="32"/>
      <c r="P382" s="31"/>
      <c r="Q382" s="33"/>
      <c r="R382" s="33"/>
      <c r="S382" s="31"/>
      <c r="X382" s="56"/>
      <c r="Y382" s="56"/>
      <c r="Z382" s="56"/>
      <c r="AA382" s="79"/>
      <c r="AC382" s="56"/>
      <c r="AD382" s="56"/>
      <c r="AE382" s="56"/>
    </row>
    <row r="383" spans="1:62" ht="15" x14ac:dyDescent="0.35">
      <c r="B383" s="25"/>
      <c r="C383" s="66"/>
      <c r="D383" s="25" t="s">
        <v>141</v>
      </c>
      <c r="E383" s="82">
        <f>G158</f>
        <v>11780</v>
      </c>
      <c r="F383" s="71" t="s">
        <v>75</v>
      </c>
      <c r="O383" s="32"/>
      <c r="P383" s="31"/>
      <c r="Q383" s="33"/>
      <c r="R383" s="33"/>
      <c r="S383" s="31"/>
      <c r="W383" s="45"/>
      <c r="X383" s="56"/>
      <c r="Y383" s="56"/>
      <c r="Z383" s="56"/>
      <c r="AA383" s="79"/>
      <c r="AB383" s="45"/>
      <c r="AC383" s="56"/>
      <c r="AD383" s="56"/>
      <c r="AE383" s="56"/>
    </row>
    <row r="384" spans="1:62" x14ac:dyDescent="0.3">
      <c r="B384" s="67"/>
      <c r="C384" s="68"/>
      <c r="D384" s="72" t="s">
        <v>76</v>
      </c>
      <c r="E384" s="68">
        <f>(C264-C250)/12</f>
        <v>3.3841666666666677</v>
      </c>
      <c r="F384" s="27" t="s">
        <v>77</v>
      </c>
      <c r="O384" s="32"/>
      <c r="P384" s="31"/>
      <c r="Q384" s="33"/>
      <c r="R384" s="33"/>
      <c r="S384" s="31"/>
      <c r="X384" s="56"/>
      <c r="Y384" s="56"/>
      <c r="Z384" s="56"/>
      <c r="AA384" s="79"/>
      <c r="AC384" s="56"/>
      <c r="AD384" s="56"/>
      <c r="AE384" s="56"/>
    </row>
    <row r="385" spans="1:62" x14ac:dyDescent="0.3">
      <c r="B385" s="67"/>
      <c r="C385" s="69"/>
      <c r="D385" s="67" t="s">
        <v>78</v>
      </c>
      <c r="E385" s="73">
        <f>-(E384*C248*H267+(F256)/12*E381)</f>
        <v>-72210.308845121428</v>
      </c>
      <c r="F385" s="27" t="s">
        <v>79</v>
      </c>
      <c r="G385" s="124" t="str">
        <f>"= "&amp;[1]!xln(E385)</f>
        <v>=  - (3.38 × 5273 × 2.86 + (51.1) / 12 × 4976)</v>
      </c>
      <c r="O385" s="32"/>
      <c r="P385" s="31"/>
      <c r="Q385" s="33"/>
      <c r="R385" s="33"/>
      <c r="S385" s="31"/>
      <c r="X385" s="56"/>
      <c r="Y385" s="56"/>
      <c r="Z385" s="56"/>
      <c r="AA385" s="88"/>
      <c r="AC385" s="56"/>
      <c r="AD385" s="56"/>
      <c r="AE385" s="56"/>
    </row>
    <row r="386" spans="1:62" x14ac:dyDescent="0.3">
      <c r="D386" s="67" t="s">
        <v>80</v>
      </c>
      <c r="E386" s="82">
        <f>-(E384*C248*H267-(F256)/12*E381)</f>
        <v>-29838.838904715754</v>
      </c>
      <c r="F386" s="27" t="s">
        <v>79</v>
      </c>
      <c r="G386" s="124" t="str">
        <f>"= "&amp;[1]!xln(E386)</f>
        <v>=  - (3.38 × 5273 × 2.86 - (51.1) / 12 × 4976)</v>
      </c>
      <c r="O386" s="32"/>
      <c r="P386" s="31"/>
      <c r="Q386" s="33"/>
      <c r="R386" s="33"/>
      <c r="S386" s="31"/>
      <c r="W386" s="45"/>
      <c r="X386" s="56"/>
      <c r="Y386" s="56"/>
      <c r="Z386" s="56"/>
      <c r="AA386" s="88"/>
      <c r="AB386" s="45"/>
      <c r="AC386" s="56"/>
      <c r="AD386" s="56"/>
      <c r="AE386" s="56"/>
    </row>
    <row r="387" spans="1:62" x14ac:dyDescent="0.3">
      <c r="B387" s="25"/>
      <c r="C387" s="68"/>
      <c r="D387" s="67" t="s">
        <v>81</v>
      </c>
      <c r="E387" s="68">
        <f>E385/E383</f>
        <v>-6.1299073722513944</v>
      </c>
      <c r="F387" s="27" t="s">
        <v>82</v>
      </c>
      <c r="G387" s="124" t="str">
        <f>"= "&amp;[1]!xln(E387)</f>
        <v>= (-72210) / 11780</v>
      </c>
      <c r="O387" s="32"/>
      <c r="P387" s="31"/>
      <c r="Q387" s="33"/>
      <c r="R387" s="33"/>
      <c r="S387" s="31"/>
      <c r="V387" s="41"/>
      <c r="W387" s="45"/>
      <c r="X387" s="118"/>
      <c r="Y387" s="118"/>
      <c r="Z387" s="118"/>
      <c r="AA387" s="88"/>
      <c r="AB387" s="45"/>
      <c r="AC387" s="118"/>
      <c r="AD387" s="118"/>
      <c r="AE387" s="118"/>
      <c r="AF387" s="88"/>
      <c r="AG387" s="88"/>
      <c r="AH387" s="88"/>
      <c r="AI387" s="88"/>
      <c r="AJ387" s="88"/>
      <c r="AK387" s="88"/>
      <c r="AL387" s="88"/>
      <c r="AM387" s="88"/>
      <c r="AN387" s="88"/>
      <c r="AO387" s="88"/>
      <c r="AP387" s="88"/>
      <c r="AQ387" s="88"/>
      <c r="AR387" s="88"/>
      <c r="AS387" s="88"/>
      <c r="AT387" s="88"/>
      <c r="AU387" s="88"/>
      <c r="AV387" s="88"/>
      <c r="AW387" s="88"/>
      <c r="AX387" s="88"/>
      <c r="AY387" s="88"/>
      <c r="AZ387" s="88"/>
      <c r="BA387" s="88"/>
      <c r="BB387" s="88"/>
      <c r="BC387" s="88"/>
      <c r="BD387" s="88"/>
      <c r="BE387" s="88"/>
      <c r="BF387" s="88"/>
      <c r="BG387" s="88"/>
      <c r="BH387" s="88"/>
      <c r="BI387" s="88"/>
      <c r="BJ387" s="88"/>
    </row>
    <row r="388" spans="1:62" x14ac:dyDescent="0.3">
      <c r="D388" s="67" t="s">
        <v>83</v>
      </c>
      <c r="E388" s="50">
        <f>E386/E383</f>
        <v>-2.5330083959860574</v>
      </c>
      <c r="F388" s="27" t="s">
        <v>82</v>
      </c>
      <c r="G388" s="124" t="str">
        <f>"= "&amp;[1]!xln(E388)</f>
        <v>= (-29839) / 11780</v>
      </c>
      <c r="L388" s="27"/>
      <c r="N388" s="34"/>
      <c r="O388" s="32"/>
      <c r="P388" s="31"/>
      <c r="Q388" s="33"/>
      <c r="R388" s="33"/>
      <c r="S388" s="31"/>
      <c r="W388" s="45"/>
      <c r="X388" s="56"/>
      <c r="Y388" s="56"/>
      <c r="Z388" s="56"/>
      <c r="AA388" s="88"/>
      <c r="AB388" s="45"/>
      <c r="AC388" s="56"/>
      <c r="AD388" s="56"/>
      <c r="AE388" s="56"/>
    </row>
    <row r="389" spans="1:62" x14ac:dyDescent="0.3">
      <c r="A389" s="37"/>
      <c r="B389" s="49" t="str">
        <f>B270</f>
        <v>Maximum Landing Weight Case</v>
      </c>
      <c r="C389" s="30"/>
      <c r="D389" s="30"/>
      <c r="E389" s="30"/>
      <c r="F389" s="30"/>
      <c r="G389" s="30"/>
      <c r="H389" s="30"/>
      <c r="I389" s="30"/>
      <c r="J389" s="30"/>
      <c r="K389" s="30"/>
      <c r="L389" s="27"/>
      <c r="N389" s="34"/>
      <c r="O389" s="32"/>
      <c r="P389" s="31"/>
      <c r="Q389" s="33"/>
      <c r="R389" s="33"/>
      <c r="S389" s="31"/>
      <c r="W389" s="119"/>
      <c r="X389" s="112"/>
      <c r="Y389" s="109"/>
      <c r="Z389" s="125"/>
      <c r="AA389" s="88"/>
      <c r="AB389" s="119"/>
      <c r="AC389" s="115"/>
      <c r="AD389" s="109"/>
      <c r="AE389" s="109"/>
    </row>
    <row r="390" spans="1:62" ht="15" x14ac:dyDescent="0.35">
      <c r="B390" s="30"/>
      <c r="C390" s="30"/>
      <c r="D390" s="25" t="s">
        <v>139</v>
      </c>
      <c r="E390" s="88">
        <f>H292*C272</f>
        <v>18113.334576829595</v>
      </c>
      <c r="F390" s="30" t="s">
        <v>38</v>
      </c>
      <c r="L390" s="27"/>
      <c r="N390" s="34"/>
      <c r="O390" s="32"/>
      <c r="P390" s="31"/>
      <c r="Q390" s="33"/>
      <c r="R390" s="33"/>
      <c r="S390" s="31"/>
      <c r="W390" s="41"/>
      <c r="X390" s="56"/>
      <c r="Y390" s="56"/>
      <c r="Z390" s="56"/>
      <c r="AA390" s="88"/>
      <c r="AB390" s="41"/>
      <c r="AC390" s="56"/>
      <c r="AD390" s="56"/>
      <c r="AE390" s="56"/>
    </row>
    <row r="391" spans="1:62" ht="15" x14ac:dyDescent="0.35">
      <c r="B391" s="30"/>
      <c r="C391" s="30"/>
      <c r="D391" s="25" t="s">
        <v>143</v>
      </c>
      <c r="E391" s="88">
        <f>E390/2</f>
        <v>9056.6672884147974</v>
      </c>
      <c r="F391" s="30" t="s">
        <v>38</v>
      </c>
      <c r="L391" s="27"/>
      <c r="N391" s="34"/>
      <c r="O391" s="32"/>
      <c r="P391" s="31"/>
      <c r="Q391" s="33"/>
      <c r="R391" s="33"/>
      <c r="S391" s="31"/>
      <c r="X391" s="56"/>
      <c r="Y391" s="56"/>
      <c r="Z391" s="120"/>
      <c r="AA391" s="88"/>
      <c r="AC391" s="56"/>
      <c r="AD391" s="56"/>
      <c r="AE391" s="120"/>
    </row>
    <row r="392" spans="1:62" ht="15" x14ac:dyDescent="0.35">
      <c r="B392" s="30"/>
      <c r="C392" s="45"/>
      <c r="D392" s="25" t="s">
        <v>144</v>
      </c>
      <c r="E392" s="116">
        <f>$E$309*H291*C272</f>
        <v>7795.9492303537663</v>
      </c>
      <c r="F392" s="30" t="s">
        <v>38</v>
      </c>
      <c r="L392" s="27"/>
      <c r="N392" s="34"/>
      <c r="O392" s="32"/>
      <c r="P392" s="31"/>
      <c r="Q392" s="33"/>
      <c r="R392" s="33"/>
      <c r="S392" s="31"/>
      <c r="X392" s="56"/>
      <c r="Y392" s="56"/>
      <c r="Z392" s="56"/>
      <c r="AA392" s="88"/>
      <c r="AC392" s="56"/>
      <c r="AD392" s="56"/>
      <c r="AE392" s="56"/>
    </row>
    <row r="393" spans="1:62" ht="15" x14ac:dyDescent="0.35">
      <c r="B393" s="30"/>
      <c r="C393" s="45"/>
      <c r="D393" s="25" t="s">
        <v>145</v>
      </c>
      <c r="E393" s="116">
        <f>E392/2</f>
        <v>3897.9746151768832</v>
      </c>
      <c r="F393" s="30" t="s">
        <v>38</v>
      </c>
      <c r="L393" s="27"/>
      <c r="N393" s="34"/>
      <c r="O393" s="32"/>
      <c r="P393" s="31"/>
      <c r="Q393" s="33"/>
      <c r="R393" s="33"/>
      <c r="S393" s="31"/>
      <c r="W393" s="121"/>
      <c r="X393" s="56"/>
      <c r="Y393" s="126"/>
      <c r="Z393" s="109"/>
      <c r="AA393" s="127"/>
      <c r="AB393" s="128"/>
      <c r="AC393" s="56"/>
      <c r="AD393" s="129"/>
      <c r="AE393" s="109"/>
    </row>
    <row r="394" spans="1:62" ht="12.75" customHeight="1" x14ac:dyDescent="0.35">
      <c r="B394" s="25"/>
      <c r="C394" s="66"/>
      <c r="D394" s="25" t="s">
        <v>141</v>
      </c>
      <c r="E394" s="82">
        <f>G165</f>
        <v>13933</v>
      </c>
      <c r="F394" s="71" t="s">
        <v>75</v>
      </c>
      <c r="L394" s="27"/>
      <c r="N394" s="34"/>
      <c r="O394" s="32"/>
      <c r="P394" s="31"/>
      <c r="Q394" s="33"/>
      <c r="R394" s="33"/>
      <c r="S394" s="31"/>
    </row>
    <row r="395" spans="1:62" x14ac:dyDescent="0.3">
      <c r="B395" s="67"/>
      <c r="C395" s="68"/>
      <c r="D395" s="72" t="s">
        <v>76</v>
      </c>
      <c r="E395" s="68">
        <f>(C288-C274)/12</f>
        <v>4.8950000000000005</v>
      </c>
      <c r="F395" s="27" t="s">
        <v>77</v>
      </c>
      <c r="O395" s="32"/>
      <c r="P395" s="31"/>
      <c r="Q395" s="33"/>
      <c r="R395" s="33"/>
      <c r="S395" s="31"/>
    </row>
    <row r="396" spans="1:62" x14ac:dyDescent="0.3">
      <c r="B396" s="67"/>
      <c r="C396" s="69"/>
      <c r="D396" s="67" t="s">
        <v>78</v>
      </c>
      <c r="E396" s="73">
        <f>-(E395*C272*H291+(F280)/12*E392)</f>
        <v>-147732.36670860273</v>
      </c>
      <c r="F396" s="27" t="s">
        <v>79</v>
      </c>
      <c r="G396" s="124" t="str">
        <f>"= "&amp;[1]!xln(E396)</f>
        <v>=  - (4.89 × 8262 × 2.86 + (49.4) / 12 × 7796)</v>
      </c>
      <c r="O396" s="32"/>
      <c r="P396" s="31"/>
      <c r="Q396" s="33"/>
      <c r="R396" s="33"/>
      <c r="S396" s="31"/>
    </row>
    <row r="397" spans="1:62" x14ac:dyDescent="0.3">
      <c r="B397" s="25"/>
      <c r="C397" s="68"/>
      <c r="D397" s="67" t="s">
        <v>80</v>
      </c>
      <c r="E397" s="82">
        <f>-(E395*C272*H291-(F280)/12*E392)</f>
        <v>-83547.460458559013</v>
      </c>
      <c r="F397" s="27" t="s">
        <v>79</v>
      </c>
      <c r="G397" s="124" t="str">
        <f>"= "&amp;[1]!xln(E397)</f>
        <v>=  - (4.89 × 8262 × 2.86 - (49.4) / 12 × 7796)</v>
      </c>
      <c r="O397" s="32"/>
      <c r="P397" s="31"/>
      <c r="Q397" s="33"/>
      <c r="R397" s="33"/>
      <c r="S397" s="31"/>
    </row>
    <row r="398" spans="1:62" x14ac:dyDescent="0.3">
      <c r="A398" s="102"/>
      <c r="B398" s="30"/>
      <c r="C398" s="103"/>
      <c r="D398" s="67" t="s">
        <v>81</v>
      </c>
      <c r="E398" s="68">
        <f>E396/E394</f>
        <v>-10.603055100021727</v>
      </c>
      <c r="F398" s="27" t="s">
        <v>82</v>
      </c>
      <c r="G398" s="124" t="str">
        <f>"= "&amp;[1]!xln(E398)</f>
        <v>= (-147732) / 13933</v>
      </c>
      <c r="H398" s="130"/>
      <c r="I398" s="130"/>
      <c r="J398" s="130"/>
      <c r="K398" s="130"/>
      <c r="N398" s="34"/>
      <c r="O398" s="32"/>
      <c r="P398" s="31"/>
      <c r="Q398" s="33"/>
      <c r="R398" s="33"/>
      <c r="S398" s="31"/>
    </row>
    <row r="399" spans="1:62" x14ac:dyDescent="0.3">
      <c r="D399" s="67" t="s">
        <v>83</v>
      </c>
      <c r="E399" s="50">
        <f>E397/E394</f>
        <v>-5.9963726734055127</v>
      </c>
      <c r="F399" s="27" t="s">
        <v>82</v>
      </c>
      <c r="G399" s="124" t="str">
        <f>"= "&amp;[1]!xln(E399)</f>
        <v>= (-83547) / 13933</v>
      </c>
      <c r="O399" s="32"/>
      <c r="P399" s="31"/>
      <c r="Q399" s="33"/>
      <c r="R399" s="33"/>
      <c r="S399" s="31"/>
    </row>
    <row r="400" spans="1:62" x14ac:dyDescent="0.3">
      <c r="A400" s="190"/>
      <c r="B400" s="193"/>
      <c r="C400" s="195"/>
      <c r="D400" s="190"/>
      <c r="E400" s="190"/>
      <c r="F400" s="190"/>
      <c r="G400" s="195"/>
      <c r="H400" s="190"/>
      <c r="I400" s="190"/>
      <c r="J400" s="190"/>
      <c r="K400" s="190"/>
      <c r="O400" s="32"/>
      <c r="P400" s="31"/>
      <c r="Q400" s="33"/>
      <c r="R400" s="33"/>
      <c r="S400" s="31"/>
    </row>
    <row r="401" spans="1:62" x14ac:dyDescent="0.3">
      <c r="A401" s="190"/>
      <c r="B401" s="196"/>
      <c r="C401" s="195"/>
      <c r="D401" s="197"/>
      <c r="E401" s="197"/>
      <c r="F401" s="198" t="s">
        <v>159</v>
      </c>
      <c r="G401" s="195"/>
      <c r="H401" s="197"/>
      <c r="I401" s="197"/>
      <c r="J401" s="197"/>
      <c r="K401" s="190"/>
      <c r="O401" s="32"/>
      <c r="P401" s="31"/>
      <c r="Q401" s="33"/>
      <c r="R401" s="33"/>
      <c r="S401" s="31"/>
    </row>
    <row r="402" spans="1:62" x14ac:dyDescent="0.3">
      <c r="A402" s="190"/>
      <c r="B402" s="197"/>
      <c r="C402" s="197"/>
      <c r="D402" s="197"/>
      <c r="E402" s="197"/>
      <c r="F402" s="199" t="s">
        <v>160</v>
      </c>
      <c r="G402" s="197"/>
      <c r="H402" s="197"/>
      <c r="I402" s="197"/>
      <c r="J402" s="197"/>
      <c r="K402" s="190"/>
      <c r="O402" s="32"/>
      <c r="P402" s="31"/>
      <c r="Q402" s="33"/>
      <c r="R402" s="33"/>
      <c r="S402" s="31"/>
    </row>
    <row r="403" spans="1:62" x14ac:dyDescent="0.3">
      <c r="A403" s="14"/>
      <c r="B403" s="5"/>
      <c r="C403" s="5"/>
      <c r="D403" s="5"/>
      <c r="E403" s="7" t="s">
        <v>1</v>
      </c>
      <c r="F403" s="8" t="str">
        <f>$C$1</f>
        <v>R. Abbott</v>
      </c>
      <c r="G403" s="5"/>
      <c r="H403" s="15"/>
      <c r="I403" s="7" t="s">
        <v>8</v>
      </c>
      <c r="J403" s="16" t="str">
        <f>$G$2</f>
        <v>AA-SM-503</v>
      </c>
      <c r="K403" s="17"/>
      <c r="L403" s="18"/>
      <c r="M403" s="9"/>
      <c r="N403" s="9"/>
      <c r="O403" s="9"/>
      <c r="P403" s="9"/>
      <c r="Q403" s="33"/>
      <c r="R403" s="33"/>
      <c r="S403" s="31"/>
    </row>
    <row r="404" spans="1:62" x14ac:dyDescent="0.3">
      <c r="A404" s="5"/>
      <c r="B404" s="5"/>
      <c r="C404" s="5"/>
      <c r="D404" s="5"/>
      <c r="E404" s="7" t="s">
        <v>2</v>
      </c>
      <c r="F404" s="15" t="str">
        <f>$C$2</f>
        <v xml:space="preserve"> </v>
      </c>
      <c r="G404" s="5"/>
      <c r="H404" s="15"/>
      <c r="I404" s="7" t="s">
        <v>9</v>
      </c>
      <c r="J404" s="17" t="str">
        <f>$G$3</f>
        <v>IR</v>
      </c>
      <c r="K404" s="17"/>
      <c r="L404" s="18"/>
      <c r="M404" s="9">
        <v>1</v>
      </c>
      <c r="N404" s="9"/>
      <c r="O404" s="9"/>
      <c r="P404" s="9"/>
      <c r="Q404" s="33"/>
      <c r="R404" s="33"/>
      <c r="S404" s="31"/>
    </row>
    <row r="405" spans="1:62" x14ac:dyDescent="0.3">
      <c r="A405" s="5"/>
      <c r="B405" s="5"/>
      <c r="C405" s="5"/>
      <c r="D405" s="5"/>
      <c r="E405" s="7" t="s">
        <v>3</v>
      </c>
      <c r="F405" s="15" t="str">
        <f>$C$3</f>
        <v>20/10/2013</v>
      </c>
      <c r="G405" s="5"/>
      <c r="H405" s="15"/>
      <c r="I405" s="7" t="s">
        <v>6</v>
      </c>
      <c r="J405" s="8" t="str">
        <f>L405&amp;" of "&amp;$G$1</f>
        <v>8 of 15</v>
      </c>
      <c r="K405" s="15"/>
      <c r="L405" s="18">
        <f>SUM($M$1:M404)</f>
        <v>8</v>
      </c>
      <c r="M405" s="9"/>
      <c r="N405" s="9"/>
      <c r="O405" s="9"/>
      <c r="P405" s="9"/>
      <c r="Q405" s="33"/>
      <c r="R405" s="33"/>
      <c r="S405" s="31"/>
    </row>
    <row r="406" spans="1:62" x14ac:dyDescent="0.3">
      <c r="E406" s="7" t="s">
        <v>131</v>
      </c>
      <c r="F406" s="15" t="str">
        <f>$C$5</f>
        <v>STANDARD SPREADSHEET METHOD</v>
      </c>
      <c r="G406" s="5"/>
      <c r="H406" s="5"/>
      <c r="I406" s="19"/>
      <c r="J406" s="8"/>
      <c r="K406" s="5"/>
      <c r="L406" s="5"/>
      <c r="M406" s="9"/>
      <c r="N406" s="9"/>
      <c r="O406" s="9"/>
      <c r="P406" s="9"/>
      <c r="Q406" s="33"/>
      <c r="R406" s="33"/>
      <c r="S406" s="31"/>
    </row>
    <row r="407" spans="1:62" ht="13.5" customHeight="1" x14ac:dyDescent="0.3">
      <c r="A407" s="190"/>
      <c r="B407" s="21" t="str">
        <f>$G$4</f>
        <v>SIMPLE LANDING GEAR LOADS</v>
      </c>
      <c r="C407" s="190"/>
      <c r="D407" s="190"/>
      <c r="E407" s="190"/>
      <c r="F407" s="190"/>
      <c r="G407" s="190"/>
      <c r="H407" s="190"/>
      <c r="I407" s="190"/>
      <c r="J407" s="190"/>
      <c r="K407" s="190"/>
      <c r="L407" s="191"/>
      <c r="M407" s="192"/>
      <c r="N407" s="192"/>
      <c r="O407" s="192"/>
      <c r="P407" s="192"/>
      <c r="Q407" s="33"/>
      <c r="R407" s="33"/>
      <c r="S407" s="31"/>
      <c r="V407" s="41"/>
      <c r="W407" s="83"/>
      <c r="X407" s="83"/>
      <c r="Y407" s="83"/>
      <c r="Z407" s="83"/>
      <c r="AA407" s="83"/>
      <c r="AB407" s="83"/>
      <c r="AC407" s="83"/>
      <c r="AD407" s="83"/>
      <c r="AE407" s="83"/>
      <c r="AF407" s="83"/>
      <c r="AG407" s="83"/>
      <c r="AH407" s="83"/>
      <c r="AI407" s="83"/>
      <c r="AJ407" s="83"/>
      <c r="AK407" s="83"/>
      <c r="AL407" s="83"/>
      <c r="AM407" s="83"/>
      <c r="AN407" s="83"/>
      <c r="AO407" s="83"/>
      <c r="AP407" s="83"/>
      <c r="AQ407" s="83"/>
      <c r="AR407" s="83"/>
      <c r="AS407" s="83"/>
      <c r="AT407" s="83"/>
      <c r="AU407" s="83"/>
      <c r="AV407" s="83"/>
      <c r="AW407" s="83"/>
      <c r="AX407" s="83"/>
      <c r="AY407" s="83"/>
      <c r="AZ407" s="83"/>
      <c r="BA407" s="83"/>
      <c r="BB407" s="83"/>
      <c r="BC407" s="83"/>
      <c r="BD407" s="83"/>
      <c r="BE407" s="83"/>
      <c r="BF407" s="83"/>
      <c r="BG407" s="83"/>
      <c r="BH407" s="83"/>
      <c r="BI407" s="83"/>
      <c r="BJ407" s="83"/>
    </row>
    <row r="408" spans="1:62" x14ac:dyDescent="0.3">
      <c r="A408" s="37"/>
      <c r="B408" s="26" t="s">
        <v>84</v>
      </c>
      <c r="O408" s="32"/>
      <c r="P408" s="31"/>
      <c r="Q408" s="33"/>
      <c r="R408" s="33"/>
      <c r="S408" s="31"/>
    </row>
    <row r="409" spans="1:62" x14ac:dyDescent="0.3">
      <c r="B409" s="26"/>
      <c r="O409" s="32"/>
      <c r="P409" s="31"/>
      <c r="Q409" s="33"/>
      <c r="R409" s="33"/>
      <c r="S409" s="31"/>
      <c r="V409" s="41"/>
      <c r="W409" s="79"/>
      <c r="X409" s="79"/>
      <c r="Y409" s="79"/>
      <c r="Z409" s="79"/>
      <c r="AA409" s="79"/>
      <c r="AB409" s="79"/>
      <c r="AC409" s="79"/>
      <c r="AD409" s="79"/>
      <c r="AE409" s="79"/>
      <c r="AF409" s="79"/>
      <c r="AG409" s="79"/>
      <c r="AH409" s="79"/>
      <c r="AI409" s="79"/>
      <c r="AJ409" s="79"/>
      <c r="AK409" s="79"/>
      <c r="AL409" s="79"/>
      <c r="AM409" s="79"/>
      <c r="AN409" s="79"/>
      <c r="AO409" s="79"/>
      <c r="AP409" s="79"/>
      <c r="AQ409" s="79"/>
      <c r="AR409" s="79"/>
      <c r="AS409" s="79"/>
      <c r="AT409" s="79"/>
      <c r="AU409" s="79"/>
      <c r="AV409" s="79"/>
      <c r="AW409" s="79"/>
      <c r="AX409" s="79"/>
      <c r="AY409" s="79"/>
      <c r="AZ409" s="79"/>
      <c r="BA409" s="79"/>
      <c r="BB409" s="79"/>
      <c r="BC409" s="79"/>
      <c r="BD409" s="79"/>
      <c r="BE409" s="79"/>
      <c r="BF409" s="79"/>
      <c r="BG409" s="79"/>
      <c r="BH409" s="79"/>
      <c r="BI409" s="79"/>
      <c r="BJ409" s="79"/>
    </row>
    <row r="410" spans="1:62" x14ac:dyDescent="0.3">
      <c r="A410" s="37"/>
      <c r="B410" s="27" t="s">
        <v>85</v>
      </c>
      <c r="E410" s="131">
        <v>10</v>
      </c>
      <c r="F410" s="30" t="s">
        <v>41</v>
      </c>
      <c r="G410" s="30"/>
      <c r="H410" s="30"/>
      <c r="I410" s="30"/>
      <c r="J410" s="30"/>
      <c r="K410" s="30"/>
      <c r="L410" s="27"/>
      <c r="N410" s="34"/>
      <c r="O410" s="32"/>
      <c r="P410" s="31"/>
      <c r="Q410" s="33"/>
      <c r="R410" s="33"/>
      <c r="S410" s="31"/>
    </row>
    <row r="411" spans="1:62" x14ac:dyDescent="0.3">
      <c r="F411" s="54"/>
      <c r="G411" s="54"/>
      <c r="O411" s="32"/>
      <c r="P411" s="31"/>
      <c r="Q411" s="33"/>
      <c r="R411" s="33"/>
      <c r="S411" s="31"/>
      <c r="V411" s="41"/>
      <c r="W411" s="79"/>
      <c r="X411" s="79"/>
      <c r="Y411" s="79"/>
      <c r="Z411" s="79"/>
      <c r="AA411" s="79"/>
      <c r="AB411" s="79"/>
      <c r="AC411" s="79"/>
      <c r="AD411" s="79"/>
      <c r="AE411" s="79"/>
      <c r="AF411" s="79"/>
      <c r="AG411" s="79"/>
      <c r="AH411" s="79"/>
      <c r="AI411" s="79"/>
      <c r="AJ411" s="79"/>
      <c r="AK411" s="79"/>
      <c r="AL411" s="79"/>
      <c r="AM411" s="79"/>
      <c r="AN411" s="79"/>
      <c r="AO411" s="79"/>
      <c r="AP411" s="79"/>
      <c r="AQ411" s="79"/>
      <c r="AR411" s="79"/>
      <c r="AS411" s="79"/>
      <c r="AT411" s="79"/>
      <c r="AU411" s="79"/>
      <c r="AV411" s="79"/>
      <c r="AW411" s="79"/>
      <c r="AX411" s="79"/>
      <c r="AY411" s="79"/>
      <c r="AZ411" s="79"/>
      <c r="BA411" s="79"/>
      <c r="BB411" s="79"/>
      <c r="BC411" s="79"/>
      <c r="BD411" s="79"/>
      <c r="BE411" s="79"/>
      <c r="BF411" s="79"/>
      <c r="BG411" s="79"/>
      <c r="BH411" s="79"/>
      <c r="BI411" s="79"/>
      <c r="BJ411" s="79"/>
    </row>
    <row r="412" spans="1:62" x14ac:dyDescent="0.3">
      <c r="A412" s="37"/>
      <c r="B412" s="49" t="str">
        <f>B311</f>
        <v>Max Forward CG Case</v>
      </c>
      <c r="C412" s="30"/>
      <c r="D412" s="30"/>
      <c r="E412" s="30"/>
      <c r="F412" s="30"/>
      <c r="G412" s="30"/>
      <c r="H412" s="30"/>
      <c r="I412" s="30"/>
      <c r="J412" s="30"/>
      <c r="K412" s="30"/>
      <c r="L412" s="27"/>
      <c r="N412" s="34"/>
      <c r="O412" s="32"/>
      <c r="P412" s="31"/>
      <c r="Q412" s="33"/>
      <c r="R412" s="33"/>
      <c r="S412" s="31"/>
      <c r="V412" s="41"/>
      <c r="W412" s="79"/>
      <c r="X412" s="79"/>
      <c r="Y412" s="79"/>
      <c r="Z412" s="79"/>
      <c r="AA412" s="79"/>
      <c r="AB412" s="79"/>
      <c r="AC412" s="79"/>
      <c r="AD412" s="79"/>
      <c r="AE412" s="79"/>
      <c r="AF412" s="79"/>
      <c r="AG412" s="79"/>
      <c r="AH412" s="79"/>
      <c r="AI412" s="79"/>
      <c r="AJ412" s="79"/>
      <c r="AK412" s="79"/>
      <c r="AL412" s="79"/>
      <c r="AM412" s="79"/>
      <c r="AN412" s="79"/>
      <c r="AO412" s="79"/>
      <c r="AP412" s="79"/>
      <c r="AQ412" s="79"/>
      <c r="AR412" s="79"/>
      <c r="AS412" s="79"/>
      <c r="AT412" s="79"/>
      <c r="AU412" s="79"/>
      <c r="AV412" s="79"/>
      <c r="AW412" s="79"/>
      <c r="AX412" s="79"/>
      <c r="AY412" s="79"/>
      <c r="AZ412" s="79"/>
      <c r="BA412" s="79"/>
      <c r="BB412" s="79"/>
      <c r="BC412" s="79"/>
      <c r="BD412" s="79"/>
      <c r="BE412" s="79"/>
      <c r="BF412" s="79"/>
      <c r="BG412" s="79"/>
      <c r="BH412" s="79"/>
      <c r="BI412" s="79"/>
      <c r="BJ412" s="79"/>
    </row>
    <row r="413" spans="1:62" x14ac:dyDescent="0.3">
      <c r="B413" s="25"/>
      <c r="C413" s="65"/>
      <c r="D413" s="65"/>
      <c r="E413" s="66"/>
      <c r="O413" s="32"/>
      <c r="P413" s="31"/>
      <c r="Q413" s="33"/>
      <c r="R413" s="33"/>
      <c r="S413" s="31"/>
      <c r="V413" s="41"/>
      <c r="W413" s="79"/>
      <c r="X413" s="79"/>
      <c r="Y413" s="79"/>
      <c r="Z413" s="79"/>
      <c r="AA413" s="79"/>
      <c r="AB413" s="79"/>
      <c r="AC413" s="79"/>
      <c r="AD413" s="79"/>
      <c r="AE413" s="79"/>
      <c r="AF413" s="79"/>
      <c r="AG413" s="79"/>
      <c r="AH413" s="79"/>
      <c r="AI413" s="79"/>
      <c r="AJ413" s="79"/>
      <c r="AK413" s="79"/>
      <c r="AL413" s="79"/>
      <c r="AM413" s="79"/>
      <c r="AN413" s="79"/>
      <c r="AO413" s="79"/>
      <c r="AP413" s="79"/>
      <c r="AQ413" s="79"/>
      <c r="AR413" s="79"/>
      <c r="AS413" s="79"/>
      <c r="AT413" s="79"/>
      <c r="AU413" s="79"/>
      <c r="AV413" s="79"/>
      <c r="AW413" s="79"/>
      <c r="AX413" s="79"/>
      <c r="AY413" s="79"/>
      <c r="AZ413" s="79"/>
      <c r="BA413" s="79"/>
      <c r="BB413" s="79"/>
      <c r="BC413" s="79"/>
      <c r="BD413" s="79"/>
      <c r="BE413" s="79"/>
      <c r="BF413" s="79"/>
      <c r="BG413" s="79"/>
      <c r="BH413" s="79"/>
      <c r="BI413" s="79"/>
      <c r="BJ413" s="79"/>
    </row>
    <row r="414" spans="1:62" x14ac:dyDescent="0.3">
      <c r="C414" s="86">
        <f>COS(RADIANS(E410))*C192</f>
        <v>214.34340744310708</v>
      </c>
      <c r="D414" s="27" t="s">
        <v>11</v>
      </c>
      <c r="E414" s="66"/>
      <c r="F414" s="53"/>
      <c r="O414" s="32"/>
      <c r="P414" s="31"/>
      <c r="Q414" s="33"/>
      <c r="R414" s="33"/>
      <c r="S414" s="31"/>
      <c r="V414" s="41"/>
      <c r="W414" s="79"/>
      <c r="X414" s="79"/>
      <c r="Y414" s="79"/>
      <c r="Z414" s="79"/>
      <c r="AA414" s="79"/>
      <c r="AB414" s="79"/>
      <c r="AC414" s="79"/>
      <c r="AD414" s="79"/>
      <c r="AE414" s="79"/>
      <c r="AF414" s="79"/>
      <c r="AG414" s="79"/>
      <c r="AH414" s="79"/>
      <c r="AI414" s="79"/>
      <c r="AJ414" s="79"/>
      <c r="AK414" s="79"/>
      <c r="AL414" s="79"/>
      <c r="AM414" s="79"/>
      <c r="AN414" s="79"/>
      <c r="AO414" s="79"/>
      <c r="AP414" s="79"/>
      <c r="AQ414" s="79"/>
      <c r="AR414" s="79"/>
      <c r="AS414" s="79"/>
      <c r="AT414" s="79"/>
      <c r="AU414" s="79"/>
      <c r="AV414" s="79"/>
      <c r="AW414" s="79"/>
      <c r="AX414" s="79"/>
      <c r="AY414" s="79"/>
      <c r="AZ414" s="79"/>
      <c r="BA414" s="79"/>
      <c r="BB414" s="79"/>
      <c r="BC414" s="79"/>
      <c r="BD414" s="79"/>
      <c r="BE414" s="79"/>
      <c r="BF414" s="79"/>
      <c r="BG414" s="79"/>
      <c r="BH414" s="79"/>
      <c r="BI414" s="79"/>
      <c r="BJ414" s="79"/>
    </row>
    <row r="415" spans="1:62" x14ac:dyDescent="0.3">
      <c r="B415" s="25"/>
      <c r="C415" s="65"/>
      <c r="D415" s="66"/>
      <c r="E415" s="66"/>
      <c r="O415" s="32"/>
      <c r="P415" s="31"/>
      <c r="Q415" s="33"/>
      <c r="R415" s="33"/>
      <c r="S415" s="31"/>
      <c r="V415" s="41"/>
      <c r="W415" s="79"/>
      <c r="X415" s="79"/>
      <c r="Y415" s="79"/>
      <c r="Z415" s="79"/>
      <c r="AA415" s="79"/>
      <c r="AB415" s="79"/>
      <c r="AC415" s="79"/>
      <c r="AD415" s="79"/>
      <c r="AE415" s="79"/>
      <c r="AF415" s="79"/>
      <c r="AG415" s="79"/>
      <c r="AH415" s="79"/>
      <c r="AI415" s="79"/>
      <c r="AJ415" s="79"/>
      <c r="AK415" s="79"/>
      <c r="AL415" s="79"/>
      <c r="AM415" s="79"/>
      <c r="AN415" s="79"/>
      <c r="AO415" s="79"/>
      <c r="AP415" s="79"/>
      <c r="AQ415" s="79"/>
      <c r="AR415" s="79"/>
      <c r="AS415" s="79"/>
      <c r="AT415" s="79"/>
      <c r="AU415" s="79"/>
      <c r="AV415" s="79"/>
      <c r="AW415" s="79"/>
      <c r="AX415" s="79"/>
      <c r="AY415" s="79"/>
      <c r="AZ415" s="79"/>
      <c r="BA415" s="79"/>
      <c r="BB415" s="79"/>
      <c r="BC415" s="79"/>
      <c r="BD415" s="79"/>
      <c r="BE415" s="79"/>
      <c r="BF415" s="79"/>
      <c r="BG415" s="79"/>
      <c r="BH415" s="79"/>
      <c r="BI415" s="79"/>
      <c r="BJ415" s="79"/>
    </row>
    <row r="416" spans="1:62" x14ac:dyDescent="0.3">
      <c r="B416" s="25"/>
      <c r="C416" s="65"/>
      <c r="D416" s="66"/>
      <c r="F416" s="54"/>
      <c r="O416" s="32"/>
      <c r="P416" s="31"/>
      <c r="Q416" s="33"/>
      <c r="R416" s="33"/>
      <c r="S416" s="31"/>
      <c r="V416" s="41"/>
      <c r="W416" s="79"/>
      <c r="X416" s="79"/>
      <c r="Y416" s="79"/>
      <c r="Z416" s="79"/>
      <c r="AA416" s="79"/>
      <c r="AB416" s="79"/>
      <c r="AC416" s="79"/>
      <c r="AD416" s="79"/>
      <c r="AE416" s="79"/>
      <c r="AF416" s="79"/>
      <c r="AG416" s="79"/>
      <c r="AH416" s="79"/>
      <c r="AI416" s="79"/>
      <c r="AJ416" s="79"/>
      <c r="AK416" s="79"/>
      <c r="AL416" s="79"/>
      <c r="AM416" s="79"/>
      <c r="AN416" s="79"/>
      <c r="AO416" s="79"/>
      <c r="AP416" s="79"/>
      <c r="AQ416" s="79"/>
      <c r="AR416" s="79"/>
      <c r="AS416" s="79"/>
      <c r="AT416" s="79"/>
      <c r="AU416" s="79"/>
      <c r="AV416" s="79"/>
      <c r="AW416" s="79"/>
      <c r="AX416" s="79"/>
      <c r="AY416" s="79"/>
      <c r="AZ416" s="79"/>
      <c r="BA416" s="79"/>
      <c r="BB416" s="79"/>
      <c r="BC416" s="79"/>
      <c r="BD416" s="79"/>
      <c r="BE416" s="79"/>
      <c r="BF416" s="79"/>
      <c r="BG416" s="79"/>
      <c r="BH416" s="79"/>
      <c r="BI416" s="79"/>
      <c r="BJ416" s="79"/>
    </row>
    <row r="417" spans="2:62" x14ac:dyDescent="0.3">
      <c r="B417" s="25"/>
      <c r="D417" s="66"/>
      <c r="E417" s="66"/>
      <c r="F417" s="54"/>
      <c r="O417" s="32"/>
      <c r="P417" s="31"/>
      <c r="Q417" s="33"/>
      <c r="R417" s="33"/>
      <c r="S417" s="31"/>
      <c r="V417" s="41"/>
      <c r="W417" s="79"/>
      <c r="X417" s="79"/>
      <c r="Y417" s="79"/>
      <c r="Z417" s="79"/>
      <c r="AA417" s="79"/>
      <c r="AB417" s="79"/>
      <c r="AC417" s="79"/>
      <c r="AD417" s="79"/>
      <c r="AE417" s="79"/>
      <c r="AF417" s="79"/>
      <c r="AG417" s="79"/>
      <c r="AH417" s="79"/>
      <c r="AI417" s="79"/>
      <c r="AJ417" s="79"/>
      <c r="AK417" s="79"/>
      <c r="AL417" s="79"/>
      <c r="AM417" s="79"/>
      <c r="AN417" s="79"/>
      <c r="AO417" s="79"/>
      <c r="AP417" s="79"/>
      <c r="AQ417" s="79"/>
      <c r="AR417" s="79"/>
      <c r="AS417" s="79"/>
      <c r="AT417" s="79"/>
      <c r="AU417" s="79"/>
      <c r="AV417" s="79"/>
      <c r="AW417" s="79"/>
      <c r="AX417" s="79"/>
      <c r="AY417" s="79"/>
      <c r="AZ417" s="79"/>
      <c r="BA417" s="79"/>
      <c r="BB417" s="79"/>
      <c r="BC417" s="79"/>
      <c r="BD417" s="79"/>
      <c r="BE417" s="79"/>
      <c r="BF417" s="79"/>
      <c r="BG417" s="79"/>
      <c r="BH417" s="79"/>
      <c r="BI417" s="79"/>
      <c r="BJ417" s="79"/>
    </row>
    <row r="418" spans="2:62" x14ac:dyDescent="0.3">
      <c r="B418" s="25"/>
      <c r="C418" s="66"/>
      <c r="D418" s="66"/>
      <c r="E418" s="66"/>
      <c r="F418" s="54"/>
      <c r="O418" s="32"/>
      <c r="P418" s="31"/>
      <c r="Q418" s="33"/>
      <c r="R418" s="33"/>
      <c r="S418" s="31"/>
      <c r="V418" s="41"/>
      <c r="W418" s="88"/>
      <c r="X418" s="88"/>
      <c r="Y418" s="88"/>
      <c r="Z418" s="88"/>
      <c r="AA418" s="88"/>
      <c r="AB418" s="88"/>
      <c r="AC418" s="88"/>
      <c r="AD418" s="88"/>
      <c r="AE418" s="88"/>
      <c r="AF418" s="88"/>
      <c r="AG418" s="88"/>
      <c r="AH418" s="88"/>
      <c r="AI418" s="88"/>
      <c r="AJ418" s="88"/>
      <c r="AK418" s="88"/>
      <c r="AL418" s="88"/>
      <c r="AM418" s="88"/>
      <c r="AN418" s="88"/>
      <c r="AO418" s="88"/>
      <c r="AP418" s="88"/>
      <c r="AQ418" s="88"/>
      <c r="AR418" s="88"/>
      <c r="AS418" s="88"/>
      <c r="AT418" s="88"/>
      <c r="AU418" s="88"/>
      <c r="AV418" s="88"/>
      <c r="AW418" s="88"/>
      <c r="AX418" s="88"/>
      <c r="AY418" s="88"/>
      <c r="AZ418" s="88"/>
      <c r="BA418" s="88"/>
      <c r="BB418" s="88"/>
      <c r="BC418" s="88"/>
      <c r="BD418" s="88"/>
      <c r="BE418" s="88"/>
      <c r="BF418" s="88"/>
      <c r="BG418" s="88"/>
      <c r="BH418" s="88"/>
      <c r="BI418" s="88"/>
      <c r="BJ418" s="88"/>
    </row>
    <row r="419" spans="2:62" x14ac:dyDescent="0.3">
      <c r="B419" s="67"/>
      <c r="C419" s="68"/>
      <c r="D419" s="66"/>
      <c r="E419" s="66"/>
      <c r="F419" s="54"/>
      <c r="O419" s="32"/>
      <c r="P419" s="31"/>
      <c r="Q419" s="33"/>
      <c r="R419" s="33"/>
      <c r="S419" s="31"/>
      <c r="V419" s="41"/>
      <c r="W419" s="88"/>
      <c r="X419" s="88"/>
      <c r="Y419" s="88"/>
      <c r="Z419" s="88"/>
      <c r="AA419" s="88"/>
      <c r="AB419" s="88"/>
      <c r="AC419" s="88"/>
      <c r="AD419" s="88"/>
      <c r="AE419" s="88"/>
      <c r="AF419" s="88"/>
      <c r="AG419" s="88"/>
      <c r="AH419" s="88"/>
      <c r="AI419" s="88"/>
      <c r="AJ419" s="88"/>
      <c r="AK419" s="88"/>
      <c r="AL419" s="88"/>
      <c r="AM419" s="88"/>
      <c r="AN419" s="88"/>
      <c r="AO419" s="88"/>
      <c r="AP419" s="88"/>
      <c r="AQ419" s="88"/>
      <c r="AR419" s="88"/>
      <c r="AS419" s="88"/>
      <c r="AT419" s="88"/>
      <c r="AU419" s="88"/>
      <c r="AV419" s="88"/>
      <c r="AW419" s="88"/>
      <c r="AX419" s="88"/>
      <c r="AY419" s="88"/>
      <c r="AZ419" s="88"/>
      <c r="BA419" s="88"/>
      <c r="BB419" s="88"/>
      <c r="BC419" s="88"/>
      <c r="BD419" s="88"/>
      <c r="BE419" s="88"/>
      <c r="BF419" s="88"/>
      <c r="BG419" s="88"/>
      <c r="BH419" s="88"/>
      <c r="BI419" s="88"/>
      <c r="BJ419" s="88"/>
    </row>
    <row r="420" spans="2:62" x14ac:dyDescent="0.3">
      <c r="B420" s="67"/>
      <c r="C420" s="69"/>
      <c r="D420" s="65"/>
      <c r="E420" s="66"/>
      <c r="O420" s="32"/>
      <c r="P420" s="31"/>
      <c r="Q420" s="33"/>
      <c r="R420" s="33"/>
      <c r="S420" s="31"/>
      <c r="V420" s="41"/>
      <c r="W420" s="88"/>
      <c r="X420" s="88"/>
      <c r="Y420" s="88"/>
      <c r="Z420" s="88"/>
      <c r="AA420" s="88"/>
      <c r="AB420" s="88"/>
      <c r="AC420" s="88"/>
      <c r="AD420" s="88"/>
      <c r="AE420" s="88"/>
      <c r="AF420" s="88"/>
      <c r="AG420" s="88"/>
      <c r="AH420" s="88"/>
      <c r="AI420" s="88"/>
      <c r="AJ420" s="88"/>
      <c r="AK420" s="88"/>
      <c r="AL420" s="88"/>
      <c r="AM420" s="88"/>
      <c r="AN420" s="88"/>
      <c r="AO420" s="88"/>
      <c r="AP420" s="88"/>
      <c r="AQ420" s="88"/>
      <c r="AR420" s="88"/>
      <c r="AS420" s="88"/>
      <c r="AT420" s="88"/>
      <c r="AU420" s="88"/>
      <c r="AV420" s="88"/>
      <c r="AW420" s="88"/>
      <c r="AX420" s="88"/>
      <c r="AY420" s="88"/>
      <c r="AZ420" s="88"/>
      <c r="BA420" s="88"/>
      <c r="BB420" s="88"/>
      <c r="BC420" s="88"/>
      <c r="BD420" s="88"/>
      <c r="BE420" s="88"/>
      <c r="BF420" s="88"/>
      <c r="BG420" s="88"/>
      <c r="BH420" s="88"/>
      <c r="BI420" s="88"/>
      <c r="BJ420" s="88"/>
    </row>
    <row r="421" spans="2:62" x14ac:dyDescent="0.3">
      <c r="B421" s="25"/>
      <c r="C421" s="68"/>
      <c r="D421" s="65"/>
      <c r="E421" s="66"/>
      <c r="F421" s="50"/>
      <c r="L421" s="27"/>
      <c r="N421" s="34"/>
      <c r="O421" s="32"/>
      <c r="P421" s="31"/>
      <c r="Q421" s="33"/>
      <c r="R421" s="33"/>
      <c r="S421" s="31"/>
      <c r="V421" s="41"/>
      <c r="W421" s="88"/>
      <c r="X421" s="88"/>
      <c r="Y421" s="88"/>
      <c r="Z421" s="88"/>
      <c r="AA421" s="88"/>
      <c r="AB421" s="88"/>
      <c r="AC421" s="88"/>
      <c r="AD421" s="88"/>
      <c r="AE421" s="88"/>
      <c r="AF421" s="88"/>
      <c r="AG421" s="88"/>
      <c r="AH421" s="88"/>
      <c r="AI421" s="88"/>
      <c r="AJ421" s="88"/>
      <c r="AK421" s="88"/>
      <c r="AL421" s="88"/>
      <c r="AM421" s="88"/>
      <c r="AN421" s="88"/>
      <c r="AO421" s="88"/>
      <c r="AP421" s="88"/>
      <c r="AQ421" s="88"/>
      <c r="AR421" s="88"/>
      <c r="AS421" s="88"/>
      <c r="AT421" s="88"/>
      <c r="AU421" s="88"/>
      <c r="AV421" s="88"/>
      <c r="AW421" s="88"/>
      <c r="AX421" s="88"/>
      <c r="AY421" s="88"/>
      <c r="AZ421" s="88"/>
      <c r="BA421" s="88"/>
      <c r="BB421" s="88"/>
      <c r="BC421" s="88"/>
      <c r="BD421" s="88"/>
      <c r="BE421" s="88"/>
      <c r="BF421" s="88"/>
      <c r="BG421" s="88"/>
      <c r="BH421" s="88"/>
      <c r="BI421" s="88"/>
      <c r="BJ421" s="88"/>
    </row>
    <row r="422" spans="2:62" x14ac:dyDescent="0.3">
      <c r="H422" s="25"/>
      <c r="I422" s="50"/>
      <c r="L422" s="27"/>
      <c r="N422" s="34"/>
      <c r="O422" s="32"/>
      <c r="P422" s="31"/>
      <c r="Q422" s="33"/>
      <c r="R422" s="33"/>
      <c r="S422" s="31"/>
      <c r="V422" s="41"/>
      <c r="W422" s="88"/>
      <c r="X422" s="88"/>
      <c r="Y422" s="88"/>
      <c r="Z422" s="88"/>
      <c r="AA422" s="88"/>
      <c r="AB422" s="88"/>
      <c r="AC422" s="88"/>
      <c r="AD422" s="88"/>
      <c r="AE422" s="88"/>
      <c r="AF422" s="88"/>
      <c r="AG422" s="88"/>
      <c r="AH422" s="88"/>
      <c r="AI422" s="88"/>
      <c r="AJ422" s="88"/>
      <c r="AK422" s="88"/>
      <c r="AL422" s="88"/>
      <c r="AM422" s="88"/>
      <c r="AN422" s="88"/>
      <c r="AO422" s="88"/>
      <c r="AP422" s="88"/>
      <c r="AQ422" s="88"/>
      <c r="AR422" s="88"/>
      <c r="AS422" s="88"/>
      <c r="AT422" s="88"/>
      <c r="AU422" s="88"/>
      <c r="AV422" s="88"/>
      <c r="AW422" s="88"/>
      <c r="AX422" s="88"/>
      <c r="AY422" s="88"/>
      <c r="AZ422" s="88"/>
      <c r="BA422" s="88"/>
      <c r="BB422" s="88"/>
      <c r="BC422" s="88"/>
      <c r="BD422" s="88"/>
      <c r="BE422" s="88"/>
      <c r="BF422" s="88"/>
      <c r="BG422" s="88"/>
      <c r="BH422" s="88"/>
      <c r="BI422" s="88"/>
      <c r="BJ422" s="88"/>
    </row>
    <row r="423" spans="2:62" x14ac:dyDescent="0.3">
      <c r="B423" s="72"/>
      <c r="C423" s="65"/>
      <c r="D423" s="66"/>
      <c r="H423" s="25"/>
      <c r="I423" s="50"/>
      <c r="J423" s="50"/>
      <c r="L423" s="27"/>
      <c r="N423" s="34"/>
      <c r="O423" s="32"/>
      <c r="P423" s="31"/>
      <c r="Q423" s="33"/>
      <c r="R423" s="33"/>
      <c r="S423" s="31"/>
      <c r="V423" s="41"/>
      <c r="W423" s="88"/>
      <c r="X423" s="88"/>
      <c r="Y423" s="88"/>
      <c r="Z423" s="88"/>
      <c r="AA423" s="88"/>
      <c r="AB423" s="88"/>
      <c r="AC423" s="88"/>
      <c r="AD423" s="88"/>
      <c r="AE423" s="88"/>
      <c r="AF423" s="88"/>
      <c r="AG423" s="88"/>
      <c r="AH423" s="88"/>
      <c r="AI423" s="88"/>
      <c r="AJ423" s="88"/>
      <c r="AK423" s="88"/>
      <c r="AL423" s="88"/>
      <c r="AM423" s="88"/>
      <c r="AN423" s="88"/>
      <c r="AO423" s="88"/>
      <c r="AP423" s="88"/>
      <c r="AQ423" s="88"/>
      <c r="AR423" s="88"/>
      <c r="AS423" s="88"/>
      <c r="AT423" s="88"/>
      <c r="AU423" s="88"/>
      <c r="AV423" s="88"/>
      <c r="AW423" s="88"/>
      <c r="AX423" s="88"/>
      <c r="AY423" s="88"/>
      <c r="AZ423" s="88"/>
      <c r="BA423" s="88"/>
      <c r="BB423" s="88"/>
      <c r="BC423" s="88"/>
      <c r="BD423" s="88"/>
      <c r="BE423" s="88"/>
      <c r="BF423" s="88"/>
      <c r="BG423" s="88"/>
      <c r="BH423" s="88"/>
      <c r="BI423" s="88"/>
      <c r="BJ423" s="88"/>
    </row>
    <row r="424" spans="2:62" x14ac:dyDescent="0.3">
      <c r="C424" s="66"/>
      <c r="D424" s="66"/>
      <c r="F424" s="54"/>
      <c r="H424" s="25"/>
      <c r="I424" s="50"/>
      <c r="L424" s="27"/>
      <c r="N424" s="34"/>
      <c r="O424" s="32"/>
      <c r="P424" s="31"/>
      <c r="Q424" s="33"/>
      <c r="R424" s="33"/>
      <c r="S424" s="31"/>
      <c r="V424" s="41"/>
      <c r="W424" s="88"/>
      <c r="X424" s="88"/>
      <c r="Y424" s="88"/>
      <c r="Z424" s="88"/>
      <c r="AA424" s="88"/>
      <c r="AB424" s="88"/>
      <c r="AC424" s="88"/>
      <c r="AD424" s="88"/>
      <c r="AE424" s="88"/>
      <c r="AF424" s="88"/>
      <c r="AG424" s="88"/>
      <c r="AH424" s="88"/>
      <c r="AI424" s="88"/>
      <c r="AJ424" s="88"/>
      <c r="AK424" s="88"/>
      <c r="AL424" s="88"/>
      <c r="AM424" s="88"/>
      <c r="AN424" s="88"/>
      <c r="AO424" s="88"/>
      <c r="AP424" s="88"/>
      <c r="AQ424" s="88"/>
      <c r="AR424" s="88"/>
      <c r="AS424" s="88"/>
      <c r="AT424" s="88"/>
      <c r="AU424" s="88"/>
      <c r="AV424" s="88"/>
      <c r="AW424" s="88"/>
      <c r="AX424" s="88"/>
      <c r="AY424" s="88"/>
      <c r="AZ424" s="88"/>
      <c r="BA424" s="88"/>
      <c r="BB424" s="88"/>
      <c r="BC424" s="88"/>
      <c r="BD424" s="88"/>
      <c r="BE424" s="88"/>
      <c r="BF424" s="88"/>
      <c r="BG424" s="88"/>
      <c r="BH424" s="88"/>
      <c r="BI424" s="88"/>
      <c r="BJ424" s="88"/>
    </row>
    <row r="425" spans="2:62" x14ac:dyDescent="0.3">
      <c r="C425" s="73"/>
      <c r="F425" s="54"/>
      <c r="L425" s="27"/>
      <c r="N425" s="34"/>
      <c r="O425" s="32"/>
      <c r="P425" s="31"/>
      <c r="Q425" s="33"/>
      <c r="R425" s="33"/>
      <c r="S425" s="31"/>
      <c r="V425" s="41"/>
      <c r="W425" s="88"/>
      <c r="X425" s="88"/>
      <c r="Y425" s="88"/>
      <c r="Z425" s="88"/>
      <c r="AA425" s="88"/>
      <c r="AB425" s="88"/>
      <c r="AC425" s="88"/>
      <c r="AD425" s="88"/>
      <c r="AE425" s="88"/>
      <c r="AF425" s="88"/>
      <c r="AG425" s="88"/>
      <c r="AH425" s="88"/>
      <c r="AI425" s="88"/>
      <c r="AJ425" s="88"/>
      <c r="AK425" s="88"/>
      <c r="AL425" s="88"/>
      <c r="AM425" s="88"/>
      <c r="AN425" s="88"/>
      <c r="AO425" s="88"/>
      <c r="AP425" s="88"/>
      <c r="AQ425" s="88"/>
      <c r="AR425" s="88"/>
      <c r="AS425" s="88"/>
      <c r="AT425" s="88"/>
      <c r="AU425" s="88"/>
      <c r="AV425" s="88"/>
      <c r="AW425" s="88"/>
      <c r="AX425" s="88"/>
      <c r="AY425" s="88"/>
      <c r="AZ425" s="88"/>
      <c r="BA425" s="88"/>
      <c r="BB425" s="88"/>
      <c r="BC425" s="88"/>
      <c r="BD425" s="88"/>
      <c r="BE425" s="88"/>
      <c r="BF425" s="88"/>
      <c r="BG425" s="88"/>
      <c r="BH425" s="88"/>
      <c r="BI425" s="88"/>
      <c r="BJ425" s="88"/>
    </row>
    <row r="426" spans="2:62" x14ac:dyDescent="0.3">
      <c r="C426" s="87">
        <f>COS(RADIANS(E410))*C206</f>
        <v>274.82045155558677</v>
      </c>
      <c r="D426" s="71" t="s">
        <v>11</v>
      </c>
      <c r="F426" s="54"/>
      <c r="G426" s="38"/>
      <c r="H426" s="41"/>
      <c r="I426" s="41"/>
      <c r="J426" s="41"/>
      <c r="L426" s="27"/>
      <c r="N426" s="34"/>
      <c r="O426" s="32"/>
      <c r="P426" s="31"/>
      <c r="Q426" s="33"/>
      <c r="R426" s="33"/>
      <c r="S426" s="31"/>
      <c r="V426" s="41"/>
      <c r="W426" s="88"/>
      <c r="X426" s="88"/>
      <c r="Y426" s="88"/>
      <c r="Z426" s="88"/>
      <c r="AA426" s="88"/>
      <c r="AB426" s="88"/>
      <c r="AC426" s="88"/>
      <c r="AD426" s="88"/>
      <c r="AE426" s="88"/>
      <c r="AF426" s="88"/>
      <c r="AG426" s="88"/>
      <c r="AH426" s="88"/>
      <c r="AI426" s="88"/>
      <c r="AJ426" s="88"/>
      <c r="AK426" s="88"/>
      <c r="AL426" s="88"/>
      <c r="AM426" s="88"/>
      <c r="AN426" s="88"/>
      <c r="AO426" s="88"/>
      <c r="AP426" s="88"/>
      <c r="AQ426" s="88"/>
      <c r="AR426" s="88"/>
      <c r="AS426" s="88"/>
      <c r="AT426" s="88"/>
      <c r="AU426" s="88"/>
      <c r="AV426" s="88"/>
      <c r="AW426" s="88"/>
      <c r="AX426" s="88"/>
      <c r="AY426" s="88"/>
      <c r="AZ426" s="88"/>
      <c r="BA426" s="88"/>
      <c r="BB426" s="88"/>
      <c r="BC426" s="88"/>
      <c r="BD426" s="88"/>
      <c r="BE426" s="88"/>
      <c r="BF426" s="88"/>
      <c r="BG426" s="88"/>
      <c r="BH426" s="88"/>
      <c r="BI426" s="88"/>
      <c r="BJ426" s="88"/>
    </row>
    <row r="427" spans="2:62" x14ac:dyDescent="0.3">
      <c r="B427" s="132"/>
      <c r="F427" s="25"/>
      <c r="G427" s="43"/>
      <c r="H427" s="39"/>
      <c r="I427" s="40"/>
      <c r="J427" s="41"/>
      <c r="L427" s="27"/>
      <c r="N427" s="34"/>
      <c r="O427" s="32"/>
      <c r="P427" s="31"/>
      <c r="Q427" s="33"/>
      <c r="R427" s="33"/>
      <c r="S427" s="31"/>
      <c r="V427" s="41"/>
      <c r="W427" s="88"/>
      <c r="X427" s="88"/>
      <c r="Y427" s="88"/>
      <c r="Z427" s="88"/>
      <c r="AA427" s="88"/>
      <c r="AB427" s="88"/>
      <c r="AC427" s="88"/>
      <c r="AD427" s="88"/>
      <c r="AE427" s="88"/>
      <c r="AF427" s="88"/>
      <c r="AG427" s="88"/>
      <c r="AH427" s="88"/>
      <c r="AI427" s="88"/>
      <c r="AJ427" s="88"/>
      <c r="AK427" s="88"/>
      <c r="AL427" s="88"/>
      <c r="AM427" s="88"/>
      <c r="AN427" s="88"/>
      <c r="AO427" s="88"/>
      <c r="AP427" s="88"/>
      <c r="AQ427" s="88"/>
      <c r="AR427" s="88"/>
      <c r="AS427" s="88"/>
      <c r="AT427" s="88"/>
      <c r="AU427" s="88"/>
      <c r="AV427" s="88"/>
      <c r="AW427" s="88"/>
      <c r="AX427" s="88"/>
      <c r="AY427" s="88"/>
      <c r="AZ427" s="88"/>
      <c r="BA427" s="88"/>
      <c r="BB427" s="88"/>
      <c r="BC427" s="88"/>
      <c r="BD427" s="88"/>
      <c r="BE427" s="88"/>
      <c r="BF427" s="88"/>
      <c r="BG427" s="88"/>
      <c r="BH427" s="88"/>
      <c r="BI427" s="88"/>
      <c r="BJ427" s="88"/>
    </row>
    <row r="428" spans="2:62" ht="15" x14ac:dyDescent="0.35">
      <c r="B428" s="30"/>
      <c r="C428" s="30"/>
      <c r="D428" s="25" t="s">
        <v>139</v>
      </c>
      <c r="E428" s="88">
        <f>H211*C190</f>
        <v>15322.4516288383</v>
      </c>
      <c r="F428" s="30" t="s">
        <v>38</v>
      </c>
      <c r="G428" s="43"/>
      <c r="H428" s="41"/>
      <c r="I428" s="41"/>
      <c r="J428" s="41"/>
      <c r="L428" s="27"/>
      <c r="N428" s="34"/>
      <c r="O428" s="32"/>
      <c r="P428" s="31"/>
      <c r="Q428" s="33"/>
      <c r="R428" s="33"/>
      <c r="S428" s="31"/>
      <c r="V428" s="41"/>
      <c r="W428" s="88"/>
      <c r="X428" s="88"/>
      <c r="Y428" s="88"/>
      <c r="Z428" s="88"/>
      <c r="AA428" s="88"/>
      <c r="AB428" s="88"/>
      <c r="AC428" s="88"/>
      <c r="AD428" s="88"/>
      <c r="AE428" s="88"/>
      <c r="AF428" s="88"/>
      <c r="AG428" s="88"/>
      <c r="AH428" s="88"/>
      <c r="AI428" s="88"/>
      <c r="AJ428" s="88"/>
      <c r="AK428" s="88"/>
      <c r="AL428" s="88"/>
      <c r="AM428" s="88"/>
      <c r="AN428" s="88"/>
      <c r="AO428" s="88"/>
      <c r="AP428" s="88"/>
      <c r="AQ428" s="88"/>
      <c r="AR428" s="88"/>
      <c r="AS428" s="88"/>
      <c r="AT428" s="88"/>
      <c r="AU428" s="88"/>
      <c r="AV428" s="88"/>
      <c r="AW428" s="88"/>
      <c r="AX428" s="88"/>
      <c r="AY428" s="88"/>
      <c r="AZ428" s="88"/>
      <c r="BA428" s="88"/>
      <c r="BB428" s="88"/>
      <c r="BC428" s="88"/>
      <c r="BD428" s="88"/>
      <c r="BE428" s="88"/>
      <c r="BF428" s="88"/>
      <c r="BG428" s="88"/>
      <c r="BH428" s="88"/>
      <c r="BI428" s="88"/>
      <c r="BJ428" s="88"/>
    </row>
    <row r="429" spans="2:62" ht="15" x14ac:dyDescent="0.35">
      <c r="B429" s="30"/>
      <c r="C429" s="30"/>
      <c r="D429" s="25" t="s">
        <v>143</v>
      </c>
      <c r="E429" s="88">
        <f>E428/2</f>
        <v>7661.2258144191501</v>
      </c>
      <c r="F429" s="30" t="s">
        <v>38</v>
      </c>
      <c r="G429" s="45"/>
      <c r="H429" s="60"/>
      <c r="I429" s="30"/>
      <c r="J429" s="30"/>
      <c r="L429" s="27"/>
      <c r="N429" s="34"/>
      <c r="O429" s="32"/>
      <c r="P429" s="31"/>
      <c r="Q429" s="33"/>
      <c r="R429" s="33"/>
      <c r="S429" s="31"/>
      <c r="V429" s="41"/>
      <c r="W429" s="88"/>
      <c r="X429" s="88"/>
      <c r="Y429" s="88"/>
      <c r="Z429" s="88"/>
      <c r="AA429" s="88"/>
      <c r="AB429" s="88"/>
      <c r="AC429" s="88"/>
      <c r="AD429" s="88"/>
      <c r="AE429" s="88"/>
      <c r="AF429" s="88"/>
      <c r="AG429" s="88"/>
      <c r="AH429" s="88"/>
      <c r="AI429" s="88"/>
      <c r="AJ429" s="88"/>
      <c r="AK429" s="88"/>
      <c r="AL429" s="88"/>
      <c r="AM429" s="88"/>
      <c r="AN429" s="88"/>
      <c r="AO429" s="88"/>
      <c r="AP429" s="88"/>
      <c r="AQ429" s="88"/>
      <c r="AR429" s="88"/>
      <c r="AS429" s="88"/>
      <c r="AT429" s="88"/>
      <c r="AU429" s="88"/>
      <c r="AV429" s="88"/>
      <c r="AW429" s="88"/>
      <c r="AX429" s="88"/>
      <c r="AY429" s="88"/>
      <c r="AZ429" s="88"/>
      <c r="BA429" s="88"/>
      <c r="BB429" s="88"/>
      <c r="BC429" s="88"/>
      <c r="BD429" s="88"/>
      <c r="BE429" s="88"/>
      <c r="BF429" s="88"/>
      <c r="BG429" s="88"/>
      <c r="BH429" s="88"/>
      <c r="BI429" s="88"/>
      <c r="BJ429" s="88"/>
    </row>
    <row r="430" spans="2:62" ht="15" x14ac:dyDescent="0.35">
      <c r="B430" s="72"/>
      <c r="C430" s="66"/>
      <c r="D430" s="25" t="s">
        <v>141</v>
      </c>
      <c r="E430" s="82">
        <f>C158</f>
        <v>13624</v>
      </c>
      <c r="F430" s="71" t="s">
        <v>75</v>
      </c>
      <c r="G430" s="45"/>
      <c r="H430" s="61"/>
      <c r="I430" s="30"/>
      <c r="J430" s="30"/>
      <c r="L430" s="27"/>
      <c r="N430" s="34"/>
      <c r="O430" s="32"/>
      <c r="P430" s="31"/>
      <c r="Q430" s="33"/>
      <c r="R430" s="33"/>
      <c r="S430" s="31"/>
      <c r="V430" s="41"/>
      <c r="W430" s="88"/>
      <c r="X430" s="88"/>
      <c r="Y430" s="88"/>
      <c r="Z430" s="88"/>
      <c r="AA430" s="88"/>
      <c r="AB430" s="88"/>
      <c r="AC430" s="88"/>
      <c r="AD430" s="88"/>
      <c r="AE430" s="88"/>
      <c r="AF430" s="88"/>
      <c r="AG430" s="88"/>
      <c r="AH430" s="88"/>
      <c r="AI430" s="88"/>
      <c r="AJ430" s="88"/>
      <c r="AK430" s="88"/>
      <c r="AL430" s="88"/>
      <c r="AM430" s="88"/>
      <c r="AN430" s="88"/>
      <c r="AO430" s="88"/>
      <c r="AP430" s="88"/>
      <c r="AQ430" s="88"/>
      <c r="AR430" s="88"/>
      <c r="AS430" s="88"/>
      <c r="AT430" s="88"/>
      <c r="AU430" s="88"/>
      <c r="AV430" s="88"/>
      <c r="AW430" s="88"/>
      <c r="AX430" s="88"/>
      <c r="AY430" s="88"/>
      <c r="AZ430" s="88"/>
      <c r="BA430" s="88"/>
      <c r="BB430" s="88"/>
      <c r="BC430" s="88"/>
      <c r="BD430" s="88"/>
      <c r="BE430" s="88"/>
      <c r="BF430" s="88"/>
      <c r="BG430" s="88"/>
      <c r="BH430" s="88"/>
      <c r="BI430" s="88"/>
      <c r="BJ430" s="88"/>
    </row>
    <row r="431" spans="2:62" x14ac:dyDescent="0.3">
      <c r="D431" s="72" t="s">
        <v>76</v>
      </c>
      <c r="E431" s="68">
        <f>(C426-C414)/12</f>
        <v>5.0397536760399744</v>
      </c>
      <c r="F431" s="27" t="s">
        <v>77</v>
      </c>
      <c r="G431" s="124" t="str">
        <f>"= "&amp;[1]!xln(E431)</f>
        <v>= (275 - 214) / 12</v>
      </c>
      <c r="H431" s="46"/>
      <c r="I431" s="30"/>
      <c r="J431" s="30"/>
      <c r="L431" s="27"/>
      <c r="N431" s="34"/>
      <c r="O431" s="32"/>
      <c r="P431" s="31"/>
      <c r="Q431" s="33"/>
      <c r="R431" s="33"/>
      <c r="S431" s="31"/>
      <c r="V431" s="41"/>
      <c r="W431" s="88"/>
      <c r="X431" s="88"/>
      <c r="Y431" s="88"/>
      <c r="Z431" s="88"/>
      <c r="AA431" s="88"/>
      <c r="AB431" s="88"/>
      <c r="AC431" s="88"/>
      <c r="AD431" s="88"/>
      <c r="AE431" s="88"/>
      <c r="AF431" s="88"/>
      <c r="AG431" s="88"/>
      <c r="AH431" s="88"/>
      <c r="AI431" s="88"/>
      <c r="AJ431" s="88"/>
      <c r="AK431" s="88"/>
      <c r="AL431" s="88"/>
      <c r="AM431" s="88"/>
      <c r="AN431" s="88"/>
      <c r="AO431" s="88"/>
      <c r="AP431" s="88"/>
      <c r="AQ431" s="88"/>
      <c r="AR431" s="88"/>
      <c r="AS431" s="88"/>
      <c r="AT431" s="88"/>
      <c r="AU431" s="88"/>
      <c r="AV431" s="88"/>
      <c r="AW431" s="88"/>
      <c r="AX431" s="88"/>
      <c r="AY431" s="88"/>
      <c r="AZ431" s="88"/>
      <c r="BA431" s="88"/>
      <c r="BB431" s="88"/>
      <c r="BC431" s="88"/>
      <c r="BD431" s="88"/>
      <c r="BE431" s="88"/>
      <c r="BF431" s="88"/>
      <c r="BG431" s="88"/>
      <c r="BH431" s="88"/>
      <c r="BI431" s="88"/>
      <c r="BJ431" s="88"/>
    </row>
    <row r="432" spans="2:62" x14ac:dyDescent="0.3">
      <c r="D432" s="67" t="s">
        <v>86</v>
      </c>
      <c r="E432" s="73">
        <f>E428*E431</f>
        <v>77221.381922382512</v>
      </c>
      <c r="F432" s="27" t="s">
        <v>79</v>
      </c>
      <c r="G432" s="124" t="str">
        <f>"= "&amp;[1]!xln(E432)</f>
        <v>= 15322 × 5.04</v>
      </c>
      <c r="H432" s="133"/>
      <c r="I432" s="30"/>
      <c r="J432" s="30"/>
      <c r="L432" s="27"/>
      <c r="N432" s="34"/>
      <c r="O432" s="32"/>
      <c r="P432" s="31"/>
      <c r="Q432" s="33"/>
      <c r="R432" s="33"/>
      <c r="S432" s="31"/>
      <c r="V432" s="41"/>
      <c r="W432" s="88"/>
      <c r="X432" s="88"/>
      <c r="Y432" s="88"/>
      <c r="Z432" s="88"/>
      <c r="AA432" s="88"/>
      <c r="AB432" s="88"/>
      <c r="AC432" s="88"/>
      <c r="AD432" s="88"/>
      <c r="AE432" s="88"/>
      <c r="AF432" s="88"/>
      <c r="AG432" s="88"/>
      <c r="AH432" s="88"/>
      <c r="AI432" s="88"/>
      <c r="AJ432" s="88"/>
      <c r="AK432" s="88"/>
      <c r="AL432" s="88"/>
      <c r="AM432" s="88"/>
      <c r="AN432" s="88"/>
      <c r="AO432" s="88"/>
      <c r="AP432" s="88"/>
      <c r="AQ432" s="88"/>
      <c r="AR432" s="88"/>
      <c r="AS432" s="88"/>
      <c r="AT432" s="88"/>
      <c r="AU432" s="88"/>
      <c r="AV432" s="88"/>
      <c r="AW432" s="88"/>
      <c r="AX432" s="88"/>
      <c r="AY432" s="88"/>
      <c r="AZ432" s="88"/>
      <c r="BA432" s="88"/>
      <c r="BB432" s="88"/>
      <c r="BC432" s="88"/>
      <c r="BD432" s="88"/>
      <c r="BE432" s="88"/>
      <c r="BF432" s="88"/>
      <c r="BG432" s="88"/>
      <c r="BH432" s="88"/>
      <c r="BI432" s="88"/>
      <c r="BJ432" s="88"/>
    </row>
    <row r="433" spans="1:62" x14ac:dyDescent="0.3">
      <c r="A433" s="45"/>
      <c r="B433" s="30"/>
      <c r="C433" s="30"/>
      <c r="D433" s="67" t="s">
        <v>87</v>
      </c>
      <c r="E433" s="134">
        <f>E432/E430</f>
        <v>5.6680403642382933</v>
      </c>
      <c r="F433" s="27" t="s">
        <v>82</v>
      </c>
      <c r="G433" s="124" t="str">
        <f>"= "&amp;[1]!xln(E433)</f>
        <v>= 77221 / 13624</v>
      </c>
      <c r="H433" s="64"/>
      <c r="L433" s="27"/>
      <c r="N433" s="34"/>
      <c r="O433" s="32"/>
      <c r="P433" s="31"/>
      <c r="Q433" s="33"/>
      <c r="R433" s="33"/>
      <c r="S433" s="31"/>
      <c r="V433" s="41"/>
      <c r="W433" s="88"/>
      <c r="X433" s="88"/>
      <c r="Y433" s="88"/>
      <c r="Z433" s="88"/>
      <c r="AA433" s="88"/>
      <c r="AB433" s="88"/>
      <c r="AC433" s="88"/>
      <c r="AD433" s="88"/>
      <c r="AE433" s="88"/>
      <c r="AF433" s="88"/>
      <c r="AG433" s="88"/>
      <c r="AH433" s="88"/>
      <c r="AI433" s="88"/>
      <c r="AJ433" s="88"/>
      <c r="AK433" s="88"/>
      <c r="AL433" s="88"/>
      <c r="AM433" s="88"/>
      <c r="AN433" s="88"/>
      <c r="AO433" s="88"/>
      <c r="AP433" s="88"/>
      <c r="AQ433" s="88"/>
      <c r="AR433" s="88"/>
      <c r="AS433" s="88"/>
      <c r="AT433" s="88"/>
      <c r="AU433" s="88"/>
      <c r="AV433" s="88"/>
      <c r="AW433" s="88"/>
      <c r="AX433" s="88"/>
      <c r="AY433" s="88"/>
      <c r="AZ433" s="88"/>
      <c r="BA433" s="88"/>
      <c r="BB433" s="88"/>
      <c r="BC433" s="88"/>
      <c r="BD433" s="88"/>
      <c r="BE433" s="88"/>
      <c r="BF433" s="88"/>
      <c r="BG433" s="88"/>
      <c r="BH433" s="88"/>
      <c r="BI433" s="88"/>
      <c r="BJ433" s="88"/>
    </row>
    <row r="434" spans="1:62" x14ac:dyDescent="0.3">
      <c r="A434" s="102"/>
      <c r="B434" s="30"/>
      <c r="C434" s="103"/>
      <c r="D434" s="103"/>
      <c r="E434" s="103"/>
      <c r="F434" s="103"/>
      <c r="G434" s="25"/>
      <c r="H434" s="96"/>
      <c r="L434" s="27"/>
      <c r="N434" s="34"/>
      <c r="O434" s="32"/>
      <c r="P434" s="31"/>
      <c r="Q434" s="33"/>
      <c r="R434" s="33"/>
      <c r="S434" s="31"/>
      <c r="V434" s="41"/>
      <c r="W434" s="88"/>
      <c r="X434" s="88"/>
      <c r="Y434" s="88"/>
      <c r="Z434" s="88"/>
      <c r="AA434" s="88"/>
      <c r="AB434" s="88"/>
      <c r="AC434" s="88"/>
      <c r="AD434" s="88"/>
      <c r="AE434" s="88"/>
      <c r="AF434" s="88"/>
      <c r="AG434" s="88"/>
      <c r="AH434" s="88"/>
      <c r="AI434" s="88"/>
      <c r="AJ434" s="88"/>
      <c r="AK434" s="88"/>
      <c r="AL434" s="88"/>
      <c r="AM434" s="88"/>
      <c r="AN434" s="88"/>
      <c r="AO434" s="88"/>
      <c r="AP434" s="88"/>
      <c r="AQ434" s="88"/>
      <c r="AR434" s="88"/>
      <c r="AS434" s="88"/>
      <c r="AT434" s="88"/>
      <c r="AU434" s="88"/>
      <c r="AV434" s="88"/>
      <c r="AW434" s="88"/>
      <c r="AX434" s="88"/>
      <c r="AY434" s="88"/>
      <c r="AZ434" s="88"/>
      <c r="BA434" s="88"/>
      <c r="BB434" s="88"/>
      <c r="BC434" s="88"/>
      <c r="BD434" s="88"/>
      <c r="BE434" s="88"/>
      <c r="BF434" s="88"/>
      <c r="BG434" s="88"/>
      <c r="BH434" s="88"/>
      <c r="BI434" s="88"/>
      <c r="BJ434" s="88"/>
    </row>
    <row r="435" spans="1:62" x14ac:dyDescent="0.3">
      <c r="A435" s="37"/>
      <c r="B435" s="49" t="str">
        <f>B320</f>
        <v>Max Aft CG Case</v>
      </c>
      <c r="C435" s="30"/>
      <c r="D435" s="30"/>
      <c r="E435" s="30"/>
      <c r="F435" s="30"/>
      <c r="G435" s="30"/>
      <c r="H435" s="30"/>
      <c r="I435" s="30"/>
      <c r="J435" s="30"/>
      <c r="K435" s="30"/>
      <c r="L435" s="27"/>
      <c r="N435" s="34"/>
      <c r="O435" s="32"/>
      <c r="P435" s="31"/>
      <c r="Q435" s="33"/>
      <c r="R435" s="33"/>
      <c r="S435" s="31"/>
      <c r="V435" s="41"/>
      <c r="W435" s="88"/>
      <c r="X435" s="88"/>
      <c r="Y435" s="88"/>
      <c r="Z435" s="88"/>
      <c r="AA435" s="88"/>
      <c r="AB435" s="88"/>
      <c r="AC435" s="88"/>
      <c r="AD435" s="88"/>
      <c r="AE435" s="88"/>
      <c r="AF435" s="88"/>
      <c r="AG435" s="88"/>
      <c r="AH435" s="88"/>
      <c r="AI435" s="88"/>
      <c r="AJ435" s="88"/>
      <c r="AK435" s="88"/>
      <c r="AL435" s="88"/>
      <c r="AM435" s="88"/>
      <c r="AN435" s="88"/>
      <c r="AO435" s="88"/>
      <c r="AP435" s="88"/>
      <c r="AQ435" s="88"/>
      <c r="AR435" s="88"/>
      <c r="AS435" s="88"/>
      <c r="AT435" s="88"/>
      <c r="AU435" s="88"/>
      <c r="AV435" s="88"/>
      <c r="AW435" s="88"/>
      <c r="AX435" s="88"/>
      <c r="AY435" s="88"/>
      <c r="AZ435" s="88"/>
      <c r="BA435" s="88"/>
      <c r="BB435" s="88"/>
      <c r="BC435" s="88"/>
      <c r="BD435" s="88"/>
      <c r="BE435" s="88"/>
      <c r="BF435" s="88"/>
      <c r="BG435" s="88"/>
      <c r="BH435" s="88"/>
      <c r="BI435" s="88"/>
      <c r="BJ435" s="88"/>
    </row>
    <row r="436" spans="1:62" x14ac:dyDescent="0.3">
      <c r="B436" s="25"/>
      <c r="C436" s="65"/>
      <c r="D436" s="65"/>
      <c r="E436" s="66"/>
      <c r="L436" s="27"/>
      <c r="N436" s="34"/>
      <c r="O436" s="32"/>
      <c r="P436" s="31"/>
      <c r="Q436" s="33"/>
      <c r="R436" s="33"/>
      <c r="S436" s="31"/>
      <c r="V436" s="104"/>
      <c r="W436" s="99"/>
      <c r="X436" s="99"/>
      <c r="Y436" s="99"/>
      <c r="Z436" s="99"/>
      <c r="AA436" s="99"/>
      <c r="AB436" s="99"/>
      <c r="AC436" s="99"/>
      <c r="AD436" s="99"/>
      <c r="AE436" s="99"/>
      <c r="AF436" s="99"/>
      <c r="AG436" s="99"/>
      <c r="AH436" s="99"/>
      <c r="AI436" s="99"/>
      <c r="AJ436" s="99"/>
      <c r="AK436" s="99"/>
      <c r="AL436" s="99"/>
      <c r="AM436" s="99"/>
      <c r="AN436" s="99"/>
      <c r="AO436" s="99"/>
      <c r="AP436" s="99"/>
      <c r="AQ436" s="99"/>
      <c r="AR436" s="99"/>
      <c r="AS436" s="99"/>
      <c r="AT436" s="99"/>
      <c r="AU436" s="99"/>
      <c r="AV436" s="99"/>
      <c r="AW436" s="99"/>
      <c r="AX436" s="99"/>
      <c r="AY436" s="99"/>
      <c r="AZ436" s="99"/>
      <c r="BA436" s="99"/>
      <c r="BB436" s="99"/>
      <c r="BC436" s="99"/>
      <c r="BD436" s="99"/>
      <c r="BE436" s="99"/>
      <c r="BF436" s="99"/>
      <c r="BG436" s="99"/>
      <c r="BH436" s="99"/>
      <c r="BI436" s="99"/>
      <c r="BJ436" s="99"/>
    </row>
    <row r="437" spans="1:62" x14ac:dyDescent="0.3">
      <c r="C437" s="86">
        <f>COS(RADIANS(E410))*C216</f>
        <v>237.33866847594214</v>
      </c>
      <c r="D437" s="27" t="s">
        <v>11</v>
      </c>
      <c r="E437" s="66"/>
      <c r="F437" s="53"/>
      <c r="L437" s="27"/>
      <c r="N437" s="34"/>
      <c r="O437" s="32"/>
      <c r="P437" s="31"/>
      <c r="Q437" s="33"/>
      <c r="R437" s="33"/>
      <c r="S437" s="31"/>
      <c r="V437" s="41"/>
      <c r="W437" s="79"/>
      <c r="X437" s="79"/>
      <c r="Y437" s="79"/>
      <c r="Z437" s="79"/>
      <c r="AA437" s="79"/>
      <c r="AB437" s="79"/>
      <c r="AC437" s="79"/>
      <c r="AD437" s="79"/>
      <c r="AE437" s="79"/>
      <c r="AF437" s="79"/>
      <c r="AG437" s="79"/>
      <c r="AH437" s="79"/>
      <c r="AI437" s="79"/>
      <c r="AJ437" s="79"/>
      <c r="AK437" s="79"/>
      <c r="AL437" s="79"/>
      <c r="AM437" s="79"/>
      <c r="AN437" s="79"/>
      <c r="AO437" s="79"/>
      <c r="AP437" s="79"/>
      <c r="AQ437" s="79"/>
      <c r="AR437" s="79"/>
      <c r="AS437" s="79"/>
      <c r="AT437" s="79"/>
      <c r="AU437" s="79"/>
      <c r="AV437" s="79"/>
      <c r="AW437" s="79"/>
      <c r="AX437" s="79"/>
      <c r="AY437" s="79"/>
      <c r="AZ437" s="79"/>
      <c r="BA437" s="79"/>
      <c r="BB437" s="79"/>
      <c r="BC437" s="79"/>
      <c r="BD437" s="79"/>
      <c r="BE437" s="79"/>
      <c r="BF437" s="79"/>
      <c r="BG437" s="79"/>
      <c r="BH437" s="79"/>
      <c r="BI437" s="79"/>
      <c r="BJ437" s="79"/>
    </row>
    <row r="438" spans="1:62" x14ac:dyDescent="0.3">
      <c r="B438" s="25"/>
      <c r="C438" s="65"/>
      <c r="D438" s="66"/>
      <c r="E438" s="66"/>
      <c r="O438" s="32"/>
      <c r="P438" s="31"/>
      <c r="Q438" s="33"/>
      <c r="R438" s="33"/>
      <c r="S438" s="31"/>
      <c r="V438" s="41"/>
      <c r="W438" s="79"/>
      <c r="X438" s="79"/>
      <c r="Y438" s="79"/>
      <c r="Z438" s="79"/>
      <c r="AA438" s="79"/>
      <c r="AB438" s="79"/>
      <c r="AC438" s="79"/>
      <c r="AD438" s="79"/>
      <c r="AE438" s="79"/>
      <c r="AF438" s="79"/>
      <c r="AG438" s="79"/>
      <c r="AH438" s="79"/>
      <c r="AI438" s="79"/>
      <c r="AJ438" s="79"/>
      <c r="AK438" s="79"/>
      <c r="AL438" s="79"/>
      <c r="AM438" s="79"/>
      <c r="AN438" s="79"/>
      <c r="AO438" s="79"/>
      <c r="AP438" s="79"/>
      <c r="AQ438" s="79"/>
      <c r="AR438" s="79"/>
      <c r="AS438" s="79"/>
      <c r="AT438" s="79"/>
      <c r="AU438" s="79"/>
      <c r="AV438" s="79"/>
      <c r="AW438" s="79"/>
      <c r="AX438" s="79"/>
      <c r="AY438" s="79"/>
      <c r="AZ438" s="79"/>
      <c r="BA438" s="79"/>
      <c r="BB438" s="79"/>
      <c r="BC438" s="79"/>
      <c r="BD438" s="79"/>
      <c r="BE438" s="79"/>
      <c r="BF438" s="79"/>
      <c r="BG438" s="79"/>
      <c r="BH438" s="79"/>
      <c r="BI438" s="79"/>
      <c r="BJ438" s="79"/>
    </row>
    <row r="439" spans="1:62" x14ac:dyDescent="0.3">
      <c r="B439" s="25"/>
      <c r="C439" s="65"/>
      <c r="D439" s="66"/>
      <c r="F439" s="54"/>
      <c r="O439" s="32"/>
      <c r="P439" s="31"/>
      <c r="Q439" s="33"/>
      <c r="R439" s="33"/>
      <c r="S439" s="31"/>
      <c r="V439" s="41"/>
      <c r="W439" s="79"/>
      <c r="X439" s="79"/>
      <c r="Y439" s="79"/>
      <c r="Z439" s="79"/>
      <c r="AA439" s="79"/>
      <c r="AB439" s="79"/>
      <c r="AC439" s="79"/>
      <c r="AD439" s="79"/>
      <c r="AE439" s="79"/>
      <c r="AF439" s="79"/>
      <c r="AG439" s="79"/>
      <c r="AH439" s="79"/>
      <c r="AI439" s="79"/>
      <c r="AJ439" s="79"/>
      <c r="AK439" s="79"/>
      <c r="AL439" s="79"/>
      <c r="AM439" s="79"/>
      <c r="AN439" s="79"/>
      <c r="AO439" s="79"/>
      <c r="AP439" s="79"/>
      <c r="AQ439" s="79"/>
      <c r="AR439" s="79"/>
      <c r="AS439" s="79"/>
      <c r="AT439" s="79"/>
      <c r="AU439" s="79"/>
      <c r="AV439" s="79"/>
      <c r="AW439" s="79"/>
      <c r="AX439" s="79"/>
      <c r="AY439" s="79"/>
      <c r="AZ439" s="79"/>
      <c r="BA439" s="79"/>
      <c r="BB439" s="79"/>
      <c r="BC439" s="79"/>
      <c r="BD439" s="79"/>
      <c r="BE439" s="79"/>
      <c r="BF439" s="79"/>
      <c r="BG439" s="79"/>
      <c r="BH439" s="79"/>
      <c r="BI439" s="79"/>
      <c r="BJ439" s="79"/>
    </row>
    <row r="440" spans="1:62" x14ac:dyDescent="0.3">
      <c r="B440" s="25"/>
      <c r="D440" s="66"/>
      <c r="E440" s="66"/>
      <c r="F440" s="54"/>
      <c r="O440" s="32"/>
      <c r="P440" s="31"/>
      <c r="Q440" s="33"/>
      <c r="R440" s="33"/>
      <c r="S440" s="31"/>
      <c r="V440" s="41"/>
      <c r="W440" s="79"/>
      <c r="X440" s="79"/>
      <c r="Y440" s="79"/>
      <c r="Z440" s="79"/>
      <c r="AA440" s="79"/>
      <c r="AB440" s="79"/>
      <c r="AC440" s="79"/>
      <c r="AD440" s="79"/>
      <c r="AE440" s="79"/>
      <c r="AF440" s="79"/>
      <c r="AG440" s="79"/>
      <c r="AH440" s="79"/>
      <c r="AI440" s="79"/>
      <c r="AJ440" s="79"/>
      <c r="AK440" s="79"/>
      <c r="AL440" s="79"/>
      <c r="AM440" s="79"/>
      <c r="AN440" s="79"/>
      <c r="AO440" s="79"/>
      <c r="AP440" s="79"/>
      <c r="AQ440" s="79"/>
      <c r="AR440" s="79"/>
      <c r="AS440" s="79"/>
      <c r="AT440" s="79"/>
      <c r="AU440" s="79"/>
      <c r="AV440" s="79"/>
      <c r="AW440" s="79"/>
      <c r="AX440" s="79"/>
      <c r="AY440" s="79"/>
      <c r="AZ440" s="79"/>
      <c r="BA440" s="79"/>
      <c r="BB440" s="79"/>
      <c r="BC440" s="79"/>
      <c r="BD440" s="79"/>
      <c r="BE440" s="79"/>
      <c r="BF440" s="79"/>
      <c r="BG440" s="79"/>
      <c r="BH440" s="79"/>
      <c r="BI440" s="79"/>
      <c r="BJ440" s="79"/>
    </row>
    <row r="441" spans="1:62" x14ac:dyDescent="0.3">
      <c r="B441" s="25"/>
      <c r="C441" s="66"/>
      <c r="D441" s="66"/>
      <c r="E441" s="66"/>
      <c r="F441" s="54"/>
      <c r="O441" s="32"/>
      <c r="P441" s="31"/>
      <c r="Q441" s="33"/>
      <c r="R441" s="33"/>
      <c r="S441" s="31"/>
      <c r="V441" s="41"/>
      <c r="W441" s="79"/>
      <c r="X441" s="79"/>
      <c r="Y441" s="79"/>
      <c r="Z441" s="79"/>
      <c r="AA441" s="79"/>
      <c r="AB441" s="79"/>
      <c r="AC441" s="79"/>
      <c r="AD441" s="79"/>
      <c r="AE441" s="79"/>
      <c r="AF441" s="79"/>
      <c r="AG441" s="79"/>
      <c r="AH441" s="79"/>
      <c r="AI441" s="79"/>
      <c r="AJ441" s="79"/>
      <c r="AK441" s="79"/>
      <c r="AL441" s="79"/>
      <c r="AM441" s="79"/>
      <c r="AN441" s="79"/>
      <c r="AO441" s="79"/>
      <c r="AP441" s="79"/>
      <c r="AQ441" s="79"/>
      <c r="AR441" s="79"/>
      <c r="AS441" s="79"/>
      <c r="AT441" s="79"/>
      <c r="AU441" s="79"/>
      <c r="AV441" s="79"/>
      <c r="AW441" s="79"/>
      <c r="AX441" s="79"/>
      <c r="AY441" s="79"/>
      <c r="AZ441" s="79"/>
      <c r="BA441" s="79"/>
      <c r="BB441" s="79"/>
      <c r="BC441" s="79"/>
      <c r="BD441" s="79"/>
      <c r="BE441" s="79"/>
      <c r="BF441" s="79"/>
      <c r="BG441" s="79"/>
      <c r="BH441" s="79"/>
      <c r="BI441" s="79"/>
      <c r="BJ441" s="79"/>
    </row>
    <row r="442" spans="1:62" x14ac:dyDescent="0.3">
      <c r="B442" s="67"/>
      <c r="C442" s="68"/>
      <c r="D442" s="66"/>
      <c r="E442" s="66"/>
      <c r="F442" s="54"/>
      <c r="O442" s="32"/>
      <c r="P442" s="31"/>
      <c r="Q442" s="33"/>
      <c r="R442" s="33"/>
      <c r="S442" s="31"/>
      <c r="V442" s="41"/>
      <c r="W442" s="79"/>
      <c r="X442" s="79"/>
      <c r="Y442" s="79"/>
      <c r="Z442" s="79"/>
      <c r="AA442" s="79"/>
      <c r="AB442" s="79"/>
      <c r="AC442" s="79"/>
      <c r="AD442" s="79"/>
      <c r="AE442" s="79"/>
      <c r="AF442" s="79"/>
      <c r="AG442" s="79"/>
      <c r="AH442" s="79"/>
      <c r="AI442" s="79"/>
      <c r="AJ442" s="79"/>
      <c r="AK442" s="79"/>
      <c r="AL442" s="79"/>
      <c r="AM442" s="79"/>
      <c r="AN442" s="79"/>
      <c r="AO442" s="79"/>
      <c r="AP442" s="79"/>
      <c r="AQ442" s="79"/>
      <c r="AR442" s="79"/>
      <c r="AS442" s="79"/>
      <c r="AT442" s="79"/>
      <c r="AU442" s="79"/>
      <c r="AV442" s="79"/>
      <c r="AW442" s="79"/>
      <c r="AX442" s="79"/>
      <c r="AY442" s="79"/>
      <c r="AZ442" s="79"/>
      <c r="BA442" s="79"/>
      <c r="BB442" s="79"/>
      <c r="BC442" s="79"/>
      <c r="BD442" s="79"/>
      <c r="BE442" s="79"/>
      <c r="BF442" s="79"/>
      <c r="BG442" s="79"/>
      <c r="BH442" s="79"/>
      <c r="BI442" s="79"/>
      <c r="BJ442" s="79"/>
    </row>
    <row r="443" spans="1:62" x14ac:dyDescent="0.3">
      <c r="B443" s="67"/>
      <c r="C443" s="69"/>
      <c r="D443" s="65"/>
      <c r="E443" s="66"/>
      <c r="O443" s="32"/>
      <c r="P443" s="31"/>
      <c r="Q443" s="33"/>
      <c r="R443" s="33"/>
      <c r="S443" s="31"/>
      <c r="V443" s="41"/>
      <c r="W443" s="88"/>
      <c r="X443" s="88"/>
      <c r="Y443" s="88"/>
      <c r="Z443" s="88"/>
      <c r="AA443" s="88"/>
      <c r="AB443" s="88"/>
      <c r="AC443" s="88"/>
      <c r="AD443" s="88"/>
      <c r="AE443" s="88"/>
      <c r="AF443" s="88"/>
      <c r="AG443" s="88"/>
      <c r="AH443" s="88"/>
      <c r="AI443" s="88"/>
      <c r="AJ443" s="88"/>
      <c r="AK443" s="88"/>
      <c r="AL443" s="88"/>
      <c r="AM443" s="88"/>
      <c r="AN443" s="88"/>
      <c r="AO443" s="88"/>
      <c r="AP443" s="88"/>
      <c r="AQ443" s="88"/>
      <c r="AR443" s="88"/>
      <c r="AS443" s="88"/>
      <c r="AT443" s="88"/>
      <c r="AU443" s="88"/>
      <c r="AV443" s="88"/>
      <c r="AW443" s="88"/>
      <c r="AX443" s="88"/>
      <c r="AY443" s="88"/>
      <c r="AZ443" s="88"/>
      <c r="BA443" s="88"/>
      <c r="BB443" s="88"/>
      <c r="BC443" s="88"/>
      <c r="BD443" s="88"/>
      <c r="BE443" s="88"/>
      <c r="BF443" s="88"/>
      <c r="BG443" s="88"/>
      <c r="BH443" s="88"/>
      <c r="BI443" s="88"/>
      <c r="BJ443" s="88"/>
    </row>
    <row r="444" spans="1:62" x14ac:dyDescent="0.3">
      <c r="B444" s="25"/>
      <c r="C444" s="68"/>
      <c r="D444" s="65"/>
      <c r="E444" s="66"/>
      <c r="F444" s="50"/>
      <c r="O444" s="32"/>
      <c r="P444" s="31"/>
      <c r="Q444" s="33"/>
      <c r="R444" s="33"/>
      <c r="S444" s="31"/>
      <c r="V444" s="41"/>
      <c r="W444" s="88"/>
      <c r="X444" s="88"/>
      <c r="Y444" s="88"/>
      <c r="Z444" s="88"/>
      <c r="AA444" s="88"/>
      <c r="AB444" s="88"/>
      <c r="AC444" s="88"/>
      <c r="AD444" s="88"/>
      <c r="AE444" s="88"/>
      <c r="AF444" s="88"/>
      <c r="AG444" s="88"/>
      <c r="AH444" s="88"/>
      <c r="AI444" s="88"/>
      <c r="AJ444" s="88"/>
      <c r="AK444" s="88"/>
      <c r="AL444" s="88"/>
      <c r="AM444" s="88"/>
      <c r="AN444" s="88"/>
      <c r="AO444" s="88"/>
      <c r="AP444" s="88"/>
      <c r="AQ444" s="88"/>
      <c r="AR444" s="88"/>
      <c r="AS444" s="88"/>
      <c r="AT444" s="88"/>
      <c r="AU444" s="88"/>
      <c r="AV444" s="88"/>
      <c r="AW444" s="88"/>
      <c r="AX444" s="88"/>
      <c r="AY444" s="88"/>
      <c r="AZ444" s="88"/>
      <c r="BA444" s="88"/>
      <c r="BB444" s="88"/>
      <c r="BC444" s="88"/>
      <c r="BD444" s="88"/>
      <c r="BE444" s="88"/>
      <c r="BF444" s="88"/>
      <c r="BG444" s="88"/>
      <c r="BH444" s="88"/>
      <c r="BI444" s="88"/>
      <c r="BJ444" s="88"/>
    </row>
    <row r="445" spans="1:62" x14ac:dyDescent="0.3">
      <c r="H445" s="25"/>
      <c r="I445" s="50"/>
      <c r="O445" s="32"/>
      <c r="P445" s="31"/>
      <c r="Q445" s="33"/>
      <c r="R445" s="33"/>
      <c r="S445" s="31"/>
      <c r="V445" s="41"/>
      <c r="W445" s="88"/>
      <c r="X445" s="88"/>
      <c r="Y445" s="88"/>
      <c r="Z445" s="88"/>
      <c r="AA445" s="88"/>
      <c r="AB445" s="88"/>
      <c r="AC445" s="88"/>
      <c r="AD445" s="88"/>
      <c r="AE445" s="88"/>
      <c r="AF445" s="88"/>
      <c r="AG445" s="88"/>
      <c r="AH445" s="88"/>
      <c r="AI445" s="88"/>
      <c r="AJ445" s="88"/>
      <c r="AK445" s="88"/>
      <c r="AL445" s="88"/>
      <c r="AM445" s="88"/>
      <c r="AN445" s="88"/>
      <c r="AO445" s="88"/>
      <c r="AP445" s="88"/>
      <c r="AQ445" s="88"/>
      <c r="AR445" s="88"/>
      <c r="AS445" s="88"/>
      <c r="AT445" s="88"/>
      <c r="AU445" s="88"/>
      <c r="AV445" s="88"/>
      <c r="AW445" s="88"/>
      <c r="AX445" s="88"/>
      <c r="AY445" s="88"/>
      <c r="AZ445" s="88"/>
      <c r="BA445" s="88"/>
      <c r="BB445" s="88"/>
      <c r="BC445" s="88"/>
      <c r="BD445" s="88"/>
      <c r="BE445" s="88"/>
      <c r="BF445" s="88"/>
      <c r="BG445" s="88"/>
      <c r="BH445" s="88"/>
      <c r="BI445" s="88"/>
      <c r="BJ445" s="88"/>
    </row>
    <row r="446" spans="1:62" x14ac:dyDescent="0.3">
      <c r="B446" s="72"/>
      <c r="C446" s="65"/>
      <c r="D446" s="66"/>
      <c r="H446" s="25"/>
      <c r="I446" s="50"/>
      <c r="J446" s="50"/>
      <c r="L446" s="27"/>
      <c r="N446" s="34"/>
      <c r="O446" s="32"/>
      <c r="P446" s="31"/>
      <c r="Q446" s="33"/>
      <c r="R446" s="33"/>
      <c r="S446" s="31"/>
      <c r="V446" s="41"/>
      <c r="W446" s="88"/>
      <c r="X446" s="88"/>
      <c r="Y446" s="88"/>
      <c r="Z446" s="88"/>
      <c r="AA446" s="88"/>
      <c r="AB446" s="88"/>
      <c r="AC446" s="88"/>
      <c r="AD446" s="88"/>
      <c r="AE446" s="88"/>
      <c r="AF446" s="88"/>
      <c r="AG446" s="88"/>
      <c r="AH446" s="88"/>
      <c r="AI446" s="88"/>
      <c r="AJ446" s="88"/>
      <c r="AK446" s="88"/>
      <c r="AL446" s="88"/>
      <c r="AM446" s="88"/>
      <c r="AN446" s="88"/>
      <c r="AO446" s="88"/>
      <c r="AP446" s="88"/>
      <c r="AQ446" s="88"/>
      <c r="AR446" s="88"/>
      <c r="AS446" s="88"/>
      <c r="AT446" s="88"/>
      <c r="AU446" s="88"/>
      <c r="AV446" s="88"/>
      <c r="AW446" s="88"/>
      <c r="AX446" s="88"/>
      <c r="AY446" s="88"/>
      <c r="AZ446" s="88"/>
      <c r="BA446" s="88"/>
      <c r="BB446" s="88"/>
      <c r="BC446" s="88"/>
      <c r="BD446" s="88"/>
      <c r="BE446" s="88"/>
      <c r="BF446" s="88"/>
      <c r="BG446" s="88"/>
      <c r="BH446" s="88"/>
      <c r="BI446" s="88"/>
      <c r="BJ446" s="88"/>
    </row>
    <row r="447" spans="1:62" x14ac:dyDescent="0.3">
      <c r="C447" s="66"/>
      <c r="D447" s="66"/>
      <c r="F447" s="54"/>
      <c r="H447" s="25"/>
      <c r="I447" s="50"/>
      <c r="L447" s="27"/>
      <c r="N447" s="34"/>
      <c r="O447" s="32"/>
      <c r="P447" s="31"/>
      <c r="Q447" s="33"/>
      <c r="R447" s="33"/>
      <c r="S447" s="31"/>
      <c r="V447" s="41"/>
      <c r="W447" s="88"/>
      <c r="X447" s="88"/>
      <c r="Y447" s="88"/>
      <c r="Z447" s="88"/>
      <c r="AA447" s="88"/>
      <c r="AB447" s="88"/>
      <c r="AC447" s="88"/>
      <c r="AD447" s="88"/>
      <c r="AE447" s="88"/>
      <c r="AF447" s="88"/>
      <c r="AG447" s="88"/>
      <c r="AH447" s="88"/>
      <c r="AI447" s="88"/>
      <c r="AJ447" s="88"/>
      <c r="AK447" s="88"/>
      <c r="AL447" s="88"/>
      <c r="AM447" s="88"/>
      <c r="AN447" s="88"/>
      <c r="AO447" s="88"/>
      <c r="AP447" s="88"/>
      <c r="AQ447" s="88"/>
      <c r="AR447" s="88"/>
      <c r="AS447" s="88"/>
      <c r="AT447" s="88"/>
      <c r="AU447" s="88"/>
      <c r="AV447" s="88"/>
      <c r="AW447" s="88"/>
      <c r="AX447" s="88"/>
      <c r="AY447" s="88"/>
      <c r="AZ447" s="88"/>
      <c r="BA447" s="88"/>
      <c r="BB447" s="88"/>
      <c r="BC447" s="88"/>
      <c r="BD447" s="88"/>
      <c r="BE447" s="88"/>
      <c r="BF447" s="88"/>
      <c r="BG447" s="88"/>
      <c r="BH447" s="88"/>
      <c r="BI447" s="88"/>
      <c r="BJ447" s="88"/>
    </row>
    <row r="448" spans="1:62" x14ac:dyDescent="0.3">
      <c r="C448" s="73"/>
      <c r="F448" s="54"/>
      <c r="L448" s="27"/>
      <c r="N448" s="34"/>
      <c r="O448" s="32"/>
      <c r="P448" s="31"/>
      <c r="Q448" s="33"/>
      <c r="R448" s="33"/>
      <c r="S448" s="31"/>
      <c r="V448" s="41"/>
      <c r="W448" s="88"/>
      <c r="X448" s="88"/>
      <c r="Y448" s="88"/>
      <c r="Z448" s="88"/>
      <c r="AA448" s="88"/>
      <c r="AB448" s="88"/>
      <c r="AC448" s="88"/>
      <c r="AD448" s="88"/>
      <c r="AE448" s="88"/>
      <c r="AF448" s="88"/>
      <c r="AG448" s="88"/>
      <c r="AH448" s="88"/>
      <c r="AI448" s="88"/>
      <c r="AJ448" s="88"/>
      <c r="AK448" s="88"/>
      <c r="AL448" s="88"/>
      <c r="AM448" s="88"/>
      <c r="AN448" s="88"/>
      <c r="AO448" s="88"/>
      <c r="AP448" s="88"/>
      <c r="AQ448" s="88"/>
      <c r="AR448" s="88"/>
      <c r="AS448" s="88"/>
      <c r="AT448" s="88"/>
      <c r="AU448" s="88"/>
      <c r="AV448" s="88"/>
      <c r="AW448" s="88"/>
      <c r="AX448" s="88"/>
      <c r="AY448" s="88"/>
      <c r="AZ448" s="88"/>
      <c r="BA448" s="88"/>
      <c r="BB448" s="88"/>
      <c r="BC448" s="88"/>
      <c r="BD448" s="88"/>
      <c r="BE448" s="88"/>
      <c r="BF448" s="88"/>
      <c r="BG448" s="88"/>
      <c r="BH448" s="88"/>
      <c r="BI448" s="88"/>
      <c r="BJ448" s="88"/>
    </row>
    <row r="449" spans="1:62" x14ac:dyDescent="0.3">
      <c r="C449" s="87">
        <f>COS(RADIANS(E410))*C230</f>
        <v>274.82045155558677</v>
      </c>
      <c r="D449" s="71" t="s">
        <v>11</v>
      </c>
      <c r="F449" s="54"/>
      <c r="G449" s="38"/>
      <c r="H449" s="41"/>
      <c r="I449" s="41"/>
      <c r="J449" s="41"/>
      <c r="L449" s="27"/>
      <c r="N449" s="34"/>
      <c r="O449" s="32"/>
      <c r="P449" s="31"/>
      <c r="Q449" s="33"/>
      <c r="R449" s="33"/>
      <c r="S449" s="31"/>
      <c r="V449" s="41"/>
      <c r="W449" s="88"/>
      <c r="X449" s="88"/>
      <c r="Y449" s="88"/>
      <c r="Z449" s="88"/>
      <c r="AA449" s="88"/>
      <c r="AB449" s="88"/>
      <c r="AC449" s="88"/>
      <c r="AD449" s="88"/>
      <c r="AE449" s="88"/>
      <c r="AF449" s="88"/>
      <c r="AG449" s="88"/>
      <c r="AH449" s="88"/>
      <c r="AI449" s="88"/>
      <c r="AJ449" s="88"/>
      <c r="AK449" s="88"/>
      <c r="AL449" s="88"/>
      <c r="AM449" s="88"/>
      <c r="AN449" s="88"/>
      <c r="AO449" s="88"/>
      <c r="AP449" s="88"/>
      <c r="AQ449" s="88"/>
      <c r="AR449" s="88"/>
      <c r="AS449" s="88"/>
      <c r="AT449" s="88"/>
      <c r="AU449" s="88"/>
      <c r="AV449" s="88"/>
      <c r="AW449" s="88"/>
      <c r="AX449" s="88"/>
      <c r="AY449" s="88"/>
      <c r="AZ449" s="88"/>
      <c r="BA449" s="88"/>
      <c r="BB449" s="88"/>
      <c r="BC449" s="88"/>
      <c r="BD449" s="88"/>
      <c r="BE449" s="88"/>
      <c r="BF449" s="88"/>
      <c r="BG449" s="88"/>
      <c r="BH449" s="88"/>
      <c r="BI449" s="88"/>
      <c r="BJ449" s="88"/>
    </row>
    <row r="450" spans="1:62" x14ac:dyDescent="0.3">
      <c r="B450" s="132"/>
      <c r="F450" s="25"/>
      <c r="G450" s="43"/>
      <c r="H450" s="39"/>
      <c r="I450" s="40"/>
      <c r="J450" s="41"/>
      <c r="L450" s="27"/>
      <c r="N450" s="34"/>
      <c r="O450" s="32"/>
      <c r="P450" s="31"/>
      <c r="Q450" s="33"/>
      <c r="R450" s="33"/>
      <c r="S450" s="31"/>
      <c r="V450" s="41"/>
      <c r="W450" s="88"/>
      <c r="X450" s="88"/>
      <c r="Y450" s="88"/>
      <c r="Z450" s="88"/>
      <c r="AA450" s="88"/>
      <c r="AB450" s="88"/>
      <c r="AC450" s="88"/>
      <c r="AD450" s="88"/>
      <c r="AE450" s="88"/>
      <c r="AF450" s="88"/>
      <c r="AG450" s="88"/>
      <c r="AH450" s="88"/>
      <c r="AI450" s="88"/>
      <c r="AJ450" s="88"/>
      <c r="AK450" s="88"/>
      <c r="AL450" s="88"/>
      <c r="AM450" s="88"/>
      <c r="AN450" s="88"/>
      <c r="AO450" s="88"/>
      <c r="AP450" s="88"/>
      <c r="AQ450" s="88"/>
      <c r="AR450" s="88"/>
      <c r="AS450" s="88"/>
      <c r="AT450" s="88"/>
      <c r="AU450" s="88"/>
      <c r="AV450" s="88"/>
      <c r="AW450" s="88"/>
      <c r="AX450" s="88"/>
      <c r="AY450" s="88"/>
      <c r="AZ450" s="88"/>
      <c r="BA450" s="88"/>
      <c r="BB450" s="88"/>
      <c r="BC450" s="88"/>
      <c r="BD450" s="88"/>
      <c r="BE450" s="88"/>
      <c r="BF450" s="88"/>
      <c r="BG450" s="88"/>
      <c r="BH450" s="88"/>
      <c r="BI450" s="88"/>
      <c r="BJ450" s="88"/>
    </row>
    <row r="451" spans="1:62" ht="15" x14ac:dyDescent="0.35">
      <c r="B451" s="30"/>
      <c r="C451" s="30"/>
      <c r="D451" s="25" t="s">
        <v>139</v>
      </c>
      <c r="E451" s="88">
        <f>H234*C214</f>
        <v>14351.233132404566</v>
      </c>
      <c r="F451" s="30" t="s">
        <v>38</v>
      </c>
      <c r="G451" s="43"/>
      <c r="H451" s="41"/>
      <c r="I451" s="41"/>
      <c r="J451" s="41"/>
      <c r="L451" s="27"/>
      <c r="N451" s="34"/>
      <c r="O451" s="32"/>
      <c r="P451" s="31"/>
      <c r="Q451" s="33"/>
      <c r="R451" s="33"/>
      <c r="S451" s="31"/>
      <c r="V451" s="41"/>
      <c r="W451" s="88"/>
      <c r="X451" s="88"/>
      <c r="Y451" s="88"/>
      <c r="Z451" s="88"/>
      <c r="AA451" s="88"/>
      <c r="AB451" s="88"/>
      <c r="AC451" s="88"/>
      <c r="AD451" s="88"/>
      <c r="AE451" s="88"/>
      <c r="AF451" s="88"/>
      <c r="AG451" s="88"/>
      <c r="AH451" s="88"/>
      <c r="AI451" s="88"/>
      <c r="AJ451" s="88"/>
      <c r="AK451" s="88"/>
      <c r="AL451" s="88"/>
      <c r="AM451" s="88"/>
      <c r="AN451" s="88"/>
      <c r="AO451" s="88"/>
      <c r="AP451" s="88"/>
      <c r="AQ451" s="88"/>
      <c r="AR451" s="88"/>
      <c r="AS451" s="88"/>
      <c r="AT451" s="88"/>
      <c r="AU451" s="88"/>
      <c r="AV451" s="88"/>
      <c r="AW451" s="88"/>
      <c r="AX451" s="88"/>
      <c r="AY451" s="88"/>
      <c r="AZ451" s="88"/>
      <c r="BA451" s="88"/>
      <c r="BB451" s="88"/>
      <c r="BC451" s="88"/>
      <c r="BD451" s="88"/>
      <c r="BE451" s="88"/>
      <c r="BF451" s="88"/>
      <c r="BG451" s="88"/>
      <c r="BH451" s="88"/>
      <c r="BI451" s="88"/>
      <c r="BJ451" s="88"/>
    </row>
    <row r="452" spans="1:62" ht="15" x14ac:dyDescent="0.35">
      <c r="B452" s="30"/>
      <c r="C452" s="30"/>
      <c r="D452" s="25" t="s">
        <v>143</v>
      </c>
      <c r="E452" s="88">
        <f>E451/2</f>
        <v>7175.6165662022831</v>
      </c>
      <c r="F452" s="30" t="s">
        <v>38</v>
      </c>
      <c r="G452" s="45"/>
      <c r="H452" s="60"/>
      <c r="I452" s="30"/>
      <c r="J452" s="30"/>
      <c r="L452" s="27"/>
      <c r="N452" s="34"/>
      <c r="O452" s="32"/>
      <c r="P452" s="31"/>
      <c r="Q452" s="33"/>
      <c r="R452" s="33"/>
      <c r="S452" s="31"/>
      <c r="V452" s="41"/>
      <c r="W452" s="88"/>
      <c r="X452" s="88"/>
      <c r="Y452" s="88"/>
      <c r="Z452" s="88"/>
      <c r="AA452" s="88"/>
      <c r="AB452" s="88"/>
      <c r="AC452" s="88"/>
      <c r="AD452" s="88"/>
      <c r="AE452" s="88"/>
      <c r="AF452" s="88"/>
      <c r="AG452" s="88"/>
      <c r="AH452" s="88"/>
      <c r="AI452" s="88"/>
      <c r="AJ452" s="88"/>
      <c r="AK452" s="88"/>
      <c r="AL452" s="88"/>
      <c r="AM452" s="88"/>
      <c r="AN452" s="88"/>
      <c r="AO452" s="88"/>
      <c r="AP452" s="88"/>
      <c r="AQ452" s="88"/>
      <c r="AR452" s="88"/>
      <c r="AS452" s="88"/>
      <c r="AT452" s="88"/>
      <c r="AU452" s="88"/>
      <c r="AV452" s="88"/>
      <c r="AW452" s="88"/>
      <c r="AX452" s="88"/>
      <c r="AY452" s="88"/>
      <c r="AZ452" s="88"/>
      <c r="BA452" s="88"/>
      <c r="BB452" s="88"/>
      <c r="BC452" s="88"/>
      <c r="BD452" s="88"/>
      <c r="BE452" s="88"/>
      <c r="BF452" s="88"/>
      <c r="BG452" s="88"/>
      <c r="BH452" s="88"/>
      <c r="BI452" s="88"/>
      <c r="BJ452" s="88"/>
    </row>
    <row r="453" spans="1:62" ht="15" x14ac:dyDescent="0.35">
      <c r="B453" s="72"/>
      <c r="C453" s="66"/>
      <c r="D453" s="25" t="s">
        <v>141</v>
      </c>
      <c r="E453" s="82">
        <f>C165</f>
        <v>13169</v>
      </c>
      <c r="F453" s="71" t="s">
        <v>75</v>
      </c>
      <c r="G453" s="45"/>
      <c r="H453" s="61"/>
      <c r="I453" s="30"/>
      <c r="J453" s="30"/>
      <c r="L453" s="27"/>
      <c r="N453" s="34"/>
      <c r="O453" s="32"/>
      <c r="P453" s="31"/>
      <c r="Q453" s="33"/>
      <c r="R453" s="33"/>
      <c r="S453" s="31"/>
      <c r="V453" s="41"/>
      <c r="W453" s="88"/>
      <c r="X453" s="88"/>
      <c r="Y453" s="88"/>
      <c r="Z453" s="88"/>
      <c r="AA453" s="88"/>
      <c r="AB453" s="88"/>
      <c r="AC453" s="88"/>
      <c r="AD453" s="88"/>
      <c r="AE453" s="88"/>
      <c r="AF453" s="88"/>
      <c r="AG453" s="88"/>
      <c r="AH453" s="88"/>
      <c r="AI453" s="88"/>
      <c r="AJ453" s="88"/>
      <c r="AK453" s="88"/>
      <c r="AL453" s="88"/>
      <c r="AM453" s="88"/>
      <c r="AN453" s="88"/>
      <c r="AO453" s="88"/>
      <c r="AP453" s="88"/>
      <c r="AQ453" s="88"/>
      <c r="AR453" s="88"/>
      <c r="AS453" s="88"/>
      <c r="AT453" s="88"/>
      <c r="AU453" s="88"/>
      <c r="AV453" s="88"/>
      <c r="AW453" s="88"/>
      <c r="AX453" s="88"/>
      <c r="AY453" s="88"/>
      <c r="AZ453" s="88"/>
      <c r="BA453" s="88"/>
      <c r="BB453" s="88"/>
      <c r="BC453" s="88"/>
      <c r="BD453" s="88"/>
      <c r="BE453" s="88"/>
      <c r="BF453" s="88"/>
      <c r="BG453" s="88"/>
      <c r="BH453" s="88"/>
      <c r="BI453" s="88"/>
      <c r="BJ453" s="88"/>
    </row>
    <row r="454" spans="1:62" x14ac:dyDescent="0.3">
      <c r="D454" s="72" t="s">
        <v>76</v>
      </c>
      <c r="E454" s="68">
        <f>(C449-C437)/12</f>
        <v>3.1234819233037192</v>
      </c>
      <c r="F454" s="27" t="s">
        <v>77</v>
      </c>
      <c r="G454" s="124" t="str">
        <f>"= "&amp;[1]!xln(E454)</f>
        <v>= (275 - 237) / 12</v>
      </c>
      <c r="H454" s="46"/>
      <c r="I454" s="30"/>
      <c r="J454" s="30"/>
      <c r="L454" s="27"/>
      <c r="N454" s="34"/>
      <c r="O454" s="32"/>
      <c r="P454" s="31"/>
      <c r="Q454" s="33"/>
      <c r="R454" s="33"/>
      <c r="S454" s="31"/>
      <c r="V454" s="41"/>
      <c r="W454" s="88"/>
      <c r="X454" s="88"/>
      <c r="Y454" s="88"/>
      <c r="Z454" s="88"/>
      <c r="AA454" s="88"/>
      <c r="AB454" s="88"/>
      <c r="AC454" s="88"/>
      <c r="AD454" s="88"/>
      <c r="AE454" s="88"/>
      <c r="AF454" s="88"/>
      <c r="AG454" s="88"/>
      <c r="AH454" s="88"/>
      <c r="AI454" s="88"/>
      <c r="AJ454" s="88"/>
      <c r="AK454" s="88"/>
      <c r="AL454" s="88"/>
      <c r="AM454" s="88"/>
      <c r="AN454" s="88"/>
      <c r="AO454" s="88"/>
      <c r="AP454" s="88"/>
      <c r="AQ454" s="88"/>
      <c r="AR454" s="88"/>
      <c r="AS454" s="88"/>
      <c r="AT454" s="88"/>
      <c r="AU454" s="88"/>
      <c r="AV454" s="88"/>
      <c r="AW454" s="88"/>
      <c r="AX454" s="88"/>
      <c r="AY454" s="88"/>
      <c r="AZ454" s="88"/>
      <c r="BA454" s="88"/>
      <c r="BB454" s="88"/>
      <c r="BC454" s="88"/>
      <c r="BD454" s="88"/>
      <c r="BE454" s="88"/>
      <c r="BF454" s="88"/>
      <c r="BG454" s="88"/>
      <c r="BH454" s="88"/>
      <c r="BI454" s="88"/>
      <c r="BJ454" s="88"/>
    </row>
    <row r="455" spans="1:62" x14ac:dyDescent="0.3">
      <c r="D455" s="67" t="s">
        <v>86</v>
      </c>
      <c r="E455" s="73">
        <f>E451*E454</f>
        <v>44825.817266183076</v>
      </c>
      <c r="F455" s="27" t="s">
        <v>79</v>
      </c>
      <c r="G455" s="124" t="str">
        <f>"= "&amp;[1]!xln(E455)</f>
        <v>= 14351 × 3.12</v>
      </c>
      <c r="H455" s="133"/>
      <c r="I455" s="30"/>
      <c r="J455" s="30"/>
      <c r="L455" s="27"/>
      <c r="N455" s="34"/>
      <c r="O455" s="32"/>
      <c r="P455" s="31"/>
      <c r="Q455" s="33"/>
      <c r="R455" s="33"/>
      <c r="S455" s="31"/>
      <c r="V455" s="41"/>
      <c r="W455" s="88"/>
      <c r="X455" s="88"/>
      <c r="Y455" s="88"/>
      <c r="Z455" s="88"/>
      <c r="AA455" s="88"/>
      <c r="AB455" s="88"/>
      <c r="AC455" s="88"/>
      <c r="AD455" s="88"/>
      <c r="AE455" s="88"/>
      <c r="AF455" s="88"/>
      <c r="AG455" s="88"/>
      <c r="AH455" s="88"/>
      <c r="AI455" s="88"/>
      <c r="AJ455" s="88"/>
      <c r="AK455" s="88"/>
      <c r="AL455" s="88"/>
      <c r="AM455" s="88"/>
      <c r="AN455" s="88"/>
      <c r="AO455" s="88"/>
      <c r="AP455" s="88"/>
      <c r="AQ455" s="88"/>
      <c r="AR455" s="88"/>
      <c r="AS455" s="88"/>
      <c r="AT455" s="88"/>
      <c r="AU455" s="88"/>
      <c r="AV455" s="88"/>
      <c r="AW455" s="88"/>
      <c r="AX455" s="88"/>
      <c r="AY455" s="88"/>
      <c r="AZ455" s="88"/>
      <c r="BA455" s="88"/>
      <c r="BB455" s="88"/>
      <c r="BC455" s="88"/>
      <c r="BD455" s="88"/>
      <c r="BE455" s="88"/>
      <c r="BF455" s="88"/>
      <c r="BG455" s="88"/>
      <c r="BH455" s="88"/>
      <c r="BI455" s="88"/>
      <c r="BJ455" s="88"/>
    </row>
    <row r="456" spans="1:62" x14ac:dyDescent="0.3">
      <c r="A456" s="45"/>
      <c r="B456" s="30"/>
      <c r="C456" s="30"/>
      <c r="D456" s="67" t="s">
        <v>87</v>
      </c>
      <c r="E456" s="134">
        <f>E455/E453</f>
        <v>3.4038892297200301</v>
      </c>
      <c r="F456" s="27" t="s">
        <v>82</v>
      </c>
      <c r="G456" s="124" t="str">
        <f>"= "&amp;[1]!xln(E456)</f>
        <v>= 44826 / 13169</v>
      </c>
      <c r="H456" s="64"/>
      <c r="L456" s="27"/>
      <c r="N456" s="34"/>
      <c r="O456" s="32"/>
      <c r="P456" s="31"/>
      <c r="Q456" s="33"/>
      <c r="R456" s="33"/>
      <c r="S456" s="31"/>
      <c r="V456" s="41"/>
      <c r="W456" s="88"/>
      <c r="X456" s="88"/>
      <c r="Y456" s="88"/>
      <c r="Z456" s="88"/>
      <c r="AA456" s="88"/>
      <c r="AB456" s="88"/>
      <c r="AC456" s="88"/>
      <c r="AD456" s="88"/>
      <c r="AE456" s="88"/>
      <c r="AF456" s="88"/>
      <c r="AG456" s="88"/>
      <c r="AH456" s="88"/>
      <c r="AI456" s="88"/>
      <c r="AJ456" s="88"/>
      <c r="AK456" s="88"/>
      <c r="AL456" s="88"/>
      <c r="AM456" s="88"/>
      <c r="AN456" s="88"/>
      <c r="AO456" s="88"/>
      <c r="AP456" s="88"/>
      <c r="AQ456" s="88"/>
      <c r="AR456" s="88"/>
      <c r="AS456" s="88"/>
      <c r="AT456" s="88"/>
      <c r="AU456" s="88"/>
      <c r="AV456" s="88"/>
      <c r="AW456" s="88"/>
      <c r="AX456" s="88"/>
      <c r="AY456" s="88"/>
      <c r="AZ456" s="88"/>
      <c r="BA456" s="88"/>
      <c r="BB456" s="88"/>
      <c r="BC456" s="88"/>
      <c r="BD456" s="88"/>
      <c r="BE456" s="88"/>
      <c r="BF456" s="88"/>
      <c r="BG456" s="88"/>
      <c r="BH456" s="88"/>
      <c r="BI456" s="88"/>
      <c r="BJ456" s="88"/>
    </row>
    <row r="457" spans="1:62" x14ac:dyDescent="0.3">
      <c r="A457" s="190"/>
      <c r="B457" s="193"/>
      <c r="C457" s="195"/>
      <c r="D457" s="190"/>
      <c r="E457" s="190"/>
      <c r="F457" s="190"/>
      <c r="G457" s="195"/>
      <c r="H457" s="190"/>
      <c r="I457" s="190"/>
      <c r="J457" s="190"/>
      <c r="K457" s="190"/>
      <c r="L457" s="27"/>
      <c r="N457" s="34"/>
      <c r="O457" s="32"/>
      <c r="P457" s="31"/>
      <c r="Q457" s="33"/>
      <c r="R457" s="33"/>
      <c r="S457" s="31"/>
      <c r="V457" s="41"/>
      <c r="W457" s="88"/>
      <c r="X457" s="88"/>
      <c r="Y457" s="88"/>
      <c r="Z457" s="88"/>
      <c r="AA457" s="88"/>
      <c r="AB457" s="88"/>
      <c r="AC457" s="88"/>
      <c r="AD457" s="88"/>
      <c r="AE457" s="88"/>
      <c r="AF457" s="88"/>
      <c r="AG457" s="88"/>
      <c r="AH457" s="88"/>
      <c r="AI457" s="88"/>
      <c r="AJ457" s="88"/>
      <c r="AK457" s="88"/>
      <c r="AL457" s="88"/>
      <c r="AM457" s="88"/>
      <c r="AN457" s="88"/>
      <c r="AO457" s="88"/>
      <c r="AP457" s="88"/>
      <c r="AQ457" s="88"/>
      <c r="AR457" s="88"/>
      <c r="AS457" s="88"/>
      <c r="AT457" s="88"/>
      <c r="AU457" s="88"/>
      <c r="AV457" s="88"/>
      <c r="AW457" s="88"/>
      <c r="AX457" s="88"/>
      <c r="AY457" s="88"/>
      <c r="AZ457" s="88"/>
      <c r="BA457" s="88"/>
      <c r="BB457" s="88"/>
      <c r="BC457" s="88"/>
      <c r="BD457" s="88"/>
      <c r="BE457" s="88"/>
      <c r="BF457" s="88"/>
      <c r="BG457" s="88"/>
      <c r="BH457" s="88"/>
      <c r="BI457" s="88"/>
      <c r="BJ457" s="88"/>
    </row>
    <row r="458" spans="1:62" x14ac:dyDescent="0.3">
      <c r="A458" s="190"/>
      <c r="B458" s="196"/>
      <c r="C458" s="195"/>
      <c r="D458" s="197"/>
      <c r="E458" s="197"/>
      <c r="F458" s="198" t="s">
        <v>159</v>
      </c>
      <c r="G458" s="195"/>
      <c r="H458" s="197"/>
      <c r="I458" s="197"/>
      <c r="J458" s="197"/>
      <c r="K458" s="190"/>
      <c r="L458" s="27"/>
      <c r="N458" s="34"/>
      <c r="O458" s="32"/>
      <c r="P458" s="31"/>
      <c r="Q458" s="33"/>
      <c r="R458" s="33"/>
      <c r="S458" s="31"/>
      <c r="V458" s="41"/>
      <c r="W458" s="88"/>
      <c r="X458" s="88"/>
      <c r="Y458" s="88"/>
      <c r="Z458" s="88"/>
      <c r="AA458" s="88"/>
      <c r="AB458" s="88"/>
      <c r="AC458" s="88"/>
      <c r="AD458" s="88"/>
      <c r="AE458" s="88"/>
      <c r="AF458" s="88"/>
      <c r="AG458" s="88"/>
      <c r="AH458" s="88"/>
      <c r="AI458" s="88"/>
      <c r="AJ458" s="88"/>
      <c r="AK458" s="88"/>
      <c r="AL458" s="88"/>
      <c r="AM458" s="88"/>
      <c r="AN458" s="88"/>
      <c r="AO458" s="88"/>
      <c r="AP458" s="88"/>
      <c r="AQ458" s="88"/>
      <c r="AR458" s="88"/>
      <c r="AS458" s="88"/>
      <c r="AT458" s="88"/>
      <c r="AU458" s="88"/>
      <c r="AV458" s="88"/>
      <c r="AW458" s="88"/>
      <c r="AX458" s="88"/>
      <c r="AY458" s="88"/>
      <c r="AZ458" s="88"/>
      <c r="BA458" s="88"/>
      <c r="BB458" s="88"/>
      <c r="BC458" s="88"/>
      <c r="BD458" s="88"/>
      <c r="BE458" s="88"/>
      <c r="BF458" s="88"/>
      <c r="BG458" s="88"/>
      <c r="BH458" s="88"/>
      <c r="BI458" s="88"/>
      <c r="BJ458" s="88"/>
    </row>
    <row r="459" spans="1:62" x14ac:dyDescent="0.3">
      <c r="A459" s="190"/>
      <c r="B459" s="197"/>
      <c r="C459" s="197"/>
      <c r="D459" s="197"/>
      <c r="E459" s="197"/>
      <c r="F459" s="199" t="s">
        <v>160</v>
      </c>
      <c r="G459" s="197"/>
      <c r="H459" s="197"/>
      <c r="I459" s="197"/>
      <c r="J459" s="197"/>
      <c r="K459" s="190"/>
      <c r="L459" s="27"/>
      <c r="N459" s="34"/>
      <c r="O459" s="32"/>
      <c r="P459" s="31"/>
      <c r="Q459" s="33"/>
      <c r="R459" s="33"/>
      <c r="S459" s="31"/>
      <c r="V459" s="41"/>
      <c r="W459" s="88"/>
      <c r="X459" s="88"/>
      <c r="Y459" s="88"/>
      <c r="Z459" s="88"/>
      <c r="AA459" s="88"/>
      <c r="AB459" s="88"/>
      <c r="AC459" s="88"/>
      <c r="AD459" s="88"/>
      <c r="AE459" s="88"/>
      <c r="AF459" s="88"/>
      <c r="AG459" s="88"/>
      <c r="AH459" s="88"/>
      <c r="AI459" s="88"/>
      <c r="AJ459" s="88"/>
      <c r="AK459" s="88"/>
      <c r="AL459" s="88"/>
      <c r="AM459" s="88"/>
      <c r="AN459" s="88"/>
      <c r="AO459" s="88"/>
      <c r="AP459" s="88"/>
      <c r="AQ459" s="88"/>
      <c r="AR459" s="88"/>
      <c r="AS459" s="88"/>
      <c r="AT459" s="88"/>
      <c r="AU459" s="88"/>
      <c r="AV459" s="88"/>
      <c r="AW459" s="88"/>
      <c r="AX459" s="88"/>
      <c r="AY459" s="88"/>
      <c r="AZ459" s="88"/>
      <c r="BA459" s="88"/>
      <c r="BB459" s="88"/>
      <c r="BC459" s="88"/>
      <c r="BD459" s="88"/>
      <c r="BE459" s="88"/>
      <c r="BF459" s="88"/>
      <c r="BG459" s="88"/>
      <c r="BH459" s="88"/>
      <c r="BI459" s="88"/>
      <c r="BJ459" s="88"/>
    </row>
    <row r="460" spans="1:62" x14ac:dyDescent="0.3">
      <c r="A460" s="14"/>
      <c r="B460" s="5"/>
      <c r="C460" s="5"/>
      <c r="D460" s="5"/>
      <c r="E460" s="7" t="s">
        <v>1</v>
      </c>
      <c r="F460" s="8" t="str">
        <f>$C$1</f>
        <v>R. Abbott</v>
      </c>
      <c r="G460" s="5"/>
      <c r="H460" s="15"/>
      <c r="I460" s="7" t="s">
        <v>8</v>
      </c>
      <c r="J460" s="16" t="str">
        <f>$G$2</f>
        <v>AA-SM-503</v>
      </c>
      <c r="K460" s="17"/>
      <c r="L460" s="18"/>
      <c r="M460" s="9"/>
      <c r="N460" s="9"/>
      <c r="O460" s="9"/>
      <c r="P460" s="9"/>
      <c r="Q460" s="33"/>
      <c r="R460" s="33"/>
      <c r="S460" s="31"/>
      <c r="V460" s="41"/>
      <c r="W460" s="88"/>
      <c r="X460" s="88"/>
      <c r="Y460" s="88"/>
      <c r="Z460" s="88"/>
      <c r="AA460" s="88"/>
      <c r="AB460" s="88"/>
      <c r="AC460" s="88"/>
      <c r="AD460" s="88"/>
      <c r="AE460" s="88"/>
      <c r="AF460" s="88"/>
      <c r="AG460" s="88"/>
      <c r="AH460" s="88"/>
      <c r="AI460" s="88"/>
      <c r="AJ460" s="88"/>
      <c r="AK460" s="88"/>
      <c r="AL460" s="88"/>
      <c r="AM460" s="88"/>
      <c r="AN460" s="88"/>
      <c r="AO460" s="88"/>
      <c r="AP460" s="88"/>
      <c r="AQ460" s="88"/>
      <c r="AR460" s="88"/>
      <c r="AS460" s="88"/>
      <c r="AT460" s="88"/>
      <c r="AU460" s="88"/>
      <c r="AV460" s="88"/>
      <c r="AW460" s="88"/>
      <c r="AX460" s="88"/>
      <c r="AY460" s="88"/>
      <c r="AZ460" s="88"/>
      <c r="BA460" s="88"/>
      <c r="BB460" s="88"/>
      <c r="BC460" s="88"/>
      <c r="BD460" s="88"/>
      <c r="BE460" s="88"/>
      <c r="BF460" s="88"/>
      <c r="BG460" s="88"/>
      <c r="BH460" s="88"/>
      <c r="BI460" s="88"/>
      <c r="BJ460" s="88"/>
    </row>
    <row r="461" spans="1:62" x14ac:dyDescent="0.3">
      <c r="A461" s="5"/>
      <c r="B461" s="5"/>
      <c r="C461" s="5"/>
      <c r="D461" s="5"/>
      <c r="E461" s="7" t="s">
        <v>2</v>
      </c>
      <c r="F461" s="15" t="str">
        <f>$C$2</f>
        <v xml:space="preserve"> </v>
      </c>
      <c r="G461" s="5"/>
      <c r="H461" s="15"/>
      <c r="I461" s="7" t="s">
        <v>9</v>
      </c>
      <c r="J461" s="17" t="str">
        <f>$G$3</f>
        <v>IR</v>
      </c>
      <c r="K461" s="17"/>
      <c r="L461" s="18"/>
      <c r="M461" s="9">
        <v>1</v>
      </c>
      <c r="N461" s="9"/>
      <c r="O461" s="9"/>
      <c r="P461" s="9"/>
      <c r="Q461" s="33"/>
      <c r="R461" s="33"/>
      <c r="S461" s="31"/>
    </row>
    <row r="462" spans="1:62" x14ac:dyDescent="0.3">
      <c r="A462" s="5"/>
      <c r="B462" s="5"/>
      <c r="C462" s="5"/>
      <c r="D462" s="5"/>
      <c r="E462" s="7" t="s">
        <v>3</v>
      </c>
      <c r="F462" s="15" t="str">
        <f>$C$3</f>
        <v>20/10/2013</v>
      </c>
      <c r="G462" s="5"/>
      <c r="H462" s="15"/>
      <c r="I462" s="7" t="s">
        <v>6</v>
      </c>
      <c r="J462" s="8" t="str">
        <f>L462&amp;" of "&amp;$G$1</f>
        <v>9 of 15</v>
      </c>
      <c r="K462" s="15"/>
      <c r="L462" s="18">
        <f>SUM($M$1:M461)</f>
        <v>9</v>
      </c>
      <c r="M462" s="9"/>
      <c r="N462" s="9"/>
      <c r="O462" s="9"/>
      <c r="P462" s="9"/>
      <c r="Q462" s="33"/>
      <c r="R462" s="33"/>
      <c r="S462" s="31"/>
    </row>
    <row r="463" spans="1:62" x14ac:dyDescent="0.3">
      <c r="E463" s="7" t="s">
        <v>131</v>
      </c>
      <c r="F463" s="15" t="str">
        <f>$C$5</f>
        <v>STANDARD SPREADSHEET METHOD</v>
      </c>
      <c r="G463" s="5"/>
      <c r="H463" s="5"/>
      <c r="I463" s="19"/>
      <c r="J463" s="8"/>
      <c r="K463" s="5"/>
      <c r="L463" s="5"/>
      <c r="M463" s="9"/>
      <c r="N463" s="9"/>
      <c r="O463" s="9"/>
      <c r="P463" s="9"/>
      <c r="Q463" s="33"/>
      <c r="R463" s="33"/>
      <c r="S463" s="31"/>
    </row>
    <row r="464" spans="1:62" ht="13.5" customHeight="1" x14ac:dyDescent="0.3">
      <c r="A464" s="190"/>
      <c r="B464" s="21" t="str">
        <f>$G$4</f>
        <v>SIMPLE LANDING GEAR LOADS</v>
      </c>
      <c r="C464" s="190"/>
      <c r="D464" s="190"/>
      <c r="E464" s="190"/>
      <c r="F464" s="190"/>
      <c r="G464" s="190"/>
      <c r="H464" s="190"/>
      <c r="I464" s="190"/>
      <c r="J464" s="190"/>
      <c r="K464" s="190"/>
      <c r="L464" s="191"/>
      <c r="M464" s="192"/>
      <c r="N464" s="192"/>
      <c r="O464" s="192"/>
      <c r="P464" s="192"/>
      <c r="Q464" s="33"/>
      <c r="R464" s="33"/>
      <c r="S464" s="31"/>
      <c r="V464" s="41"/>
      <c r="W464" s="83"/>
      <c r="X464" s="83"/>
      <c r="Y464" s="83"/>
      <c r="Z464" s="83"/>
      <c r="AA464" s="83"/>
      <c r="AB464" s="83"/>
      <c r="AC464" s="83"/>
      <c r="AD464" s="83"/>
      <c r="AE464" s="83"/>
      <c r="AF464" s="83"/>
      <c r="AG464" s="83"/>
      <c r="AH464" s="83"/>
      <c r="AI464" s="83"/>
      <c r="AJ464" s="83"/>
      <c r="AK464" s="83"/>
      <c r="AL464" s="83"/>
      <c r="AM464" s="83"/>
      <c r="AN464" s="83"/>
      <c r="AO464" s="83"/>
      <c r="AP464" s="83"/>
      <c r="AQ464" s="83"/>
      <c r="AR464" s="83"/>
      <c r="AS464" s="83"/>
      <c r="AT464" s="83"/>
      <c r="AU464" s="83"/>
      <c r="AV464" s="83"/>
      <c r="AW464" s="83"/>
      <c r="AX464" s="83"/>
      <c r="AY464" s="83"/>
      <c r="AZ464" s="83"/>
      <c r="BA464" s="83"/>
      <c r="BB464" s="83"/>
      <c r="BC464" s="83"/>
      <c r="BD464" s="83"/>
      <c r="BE464" s="83"/>
      <c r="BF464" s="83"/>
      <c r="BG464" s="83"/>
      <c r="BH464" s="83"/>
      <c r="BI464" s="83"/>
      <c r="BJ464" s="83"/>
    </row>
    <row r="465" spans="1:62" x14ac:dyDescent="0.3">
      <c r="A465" s="37"/>
      <c r="B465" s="49" t="str">
        <f>B329</f>
        <v>Minimum Weight Case</v>
      </c>
      <c r="C465" s="30"/>
      <c r="D465" s="30"/>
      <c r="E465" s="30"/>
      <c r="F465" s="30"/>
      <c r="G465" s="30"/>
      <c r="H465" s="30"/>
      <c r="I465" s="30"/>
      <c r="J465" s="30"/>
      <c r="K465" s="30"/>
      <c r="L465" s="27"/>
      <c r="N465" s="34"/>
      <c r="O465" s="32"/>
      <c r="P465" s="31"/>
      <c r="Q465" s="33"/>
      <c r="R465" s="33"/>
      <c r="S465" s="31"/>
      <c r="V465" s="41"/>
      <c r="W465" s="79"/>
      <c r="X465" s="79"/>
      <c r="Y465" s="79"/>
      <c r="Z465" s="79"/>
      <c r="AA465" s="79"/>
      <c r="AB465" s="79"/>
      <c r="AC465" s="79"/>
      <c r="AD465" s="79"/>
      <c r="AE465" s="79"/>
      <c r="AF465" s="79"/>
      <c r="AG465" s="79"/>
      <c r="AH465" s="79"/>
      <c r="AI465" s="79"/>
      <c r="AJ465" s="79"/>
      <c r="AK465" s="79"/>
      <c r="AL465" s="79"/>
      <c r="AM465" s="79"/>
      <c r="AN465" s="79"/>
      <c r="AO465" s="79"/>
      <c r="AP465" s="79"/>
      <c r="AQ465" s="79"/>
      <c r="AR465" s="79"/>
      <c r="AS465" s="79"/>
      <c r="AT465" s="79"/>
      <c r="AU465" s="79"/>
      <c r="AV465" s="79"/>
      <c r="AW465" s="79"/>
      <c r="AX465" s="79"/>
      <c r="AY465" s="79"/>
      <c r="AZ465" s="79"/>
      <c r="BA465" s="79"/>
      <c r="BB465" s="79"/>
      <c r="BC465" s="79"/>
      <c r="BD465" s="79"/>
      <c r="BE465" s="79"/>
      <c r="BF465" s="79"/>
      <c r="BG465" s="79"/>
      <c r="BH465" s="79"/>
      <c r="BI465" s="79"/>
      <c r="BJ465" s="79"/>
    </row>
    <row r="466" spans="1:62" x14ac:dyDescent="0.3">
      <c r="B466" s="25"/>
      <c r="C466" s="65"/>
      <c r="D466" s="65"/>
      <c r="E466" s="66"/>
      <c r="O466" s="32"/>
      <c r="P466" s="31"/>
      <c r="Q466" s="33"/>
      <c r="R466" s="33"/>
      <c r="S466" s="31"/>
      <c r="V466" s="41"/>
      <c r="W466" s="79"/>
      <c r="X466" s="79"/>
      <c r="Y466" s="79"/>
      <c r="Z466" s="79"/>
      <c r="AA466" s="79"/>
      <c r="AB466" s="79"/>
      <c r="AC466" s="79"/>
      <c r="AD466" s="79"/>
      <c r="AE466" s="79"/>
      <c r="AF466" s="79"/>
      <c r="AG466" s="79"/>
      <c r="AH466" s="79"/>
      <c r="AI466" s="79"/>
      <c r="AJ466" s="79"/>
      <c r="AK466" s="79"/>
      <c r="AL466" s="79"/>
      <c r="AM466" s="79"/>
      <c r="AN466" s="79"/>
      <c r="AO466" s="79"/>
      <c r="AP466" s="79"/>
      <c r="AQ466" s="79"/>
      <c r="AR466" s="79"/>
      <c r="AS466" s="79"/>
      <c r="AT466" s="79"/>
      <c r="AU466" s="79"/>
      <c r="AV466" s="79"/>
      <c r="AW466" s="79"/>
      <c r="AX466" s="79"/>
      <c r="AY466" s="79"/>
      <c r="AZ466" s="79"/>
      <c r="BA466" s="79"/>
      <c r="BB466" s="79"/>
      <c r="BC466" s="79"/>
      <c r="BD466" s="79"/>
      <c r="BE466" s="79"/>
      <c r="BF466" s="79"/>
      <c r="BG466" s="79"/>
      <c r="BH466" s="79"/>
      <c r="BI466" s="79"/>
      <c r="BJ466" s="79"/>
    </row>
    <row r="467" spans="1:62" x14ac:dyDescent="0.3">
      <c r="C467" s="86">
        <f>COS(RADIANS(E410))*C250</f>
        <v>234.827408705761</v>
      </c>
      <c r="D467" s="27" t="s">
        <v>11</v>
      </c>
      <c r="E467" s="66"/>
      <c r="F467" s="53"/>
      <c r="O467" s="32"/>
      <c r="P467" s="31"/>
      <c r="Q467" s="33"/>
      <c r="R467" s="33"/>
      <c r="S467" s="31"/>
      <c r="V467" s="41"/>
      <c r="W467" s="79"/>
      <c r="X467" s="79"/>
      <c r="Y467" s="79"/>
      <c r="Z467" s="79"/>
      <c r="AA467" s="79"/>
      <c r="AB467" s="79"/>
      <c r="AC467" s="79"/>
      <c r="AD467" s="79"/>
      <c r="AE467" s="79"/>
      <c r="AF467" s="79"/>
      <c r="AG467" s="79"/>
      <c r="AH467" s="79"/>
      <c r="AI467" s="79"/>
      <c r="AJ467" s="79"/>
      <c r="AK467" s="79"/>
      <c r="AL467" s="79"/>
      <c r="AM467" s="79"/>
      <c r="AN467" s="79"/>
      <c r="AO467" s="79"/>
      <c r="AP467" s="79"/>
      <c r="AQ467" s="79"/>
      <c r="AR467" s="79"/>
      <c r="AS467" s="79"/>
      <c r="AT467" s="79"/>
      <c r="AU467" s="79"/>
      <c r="AV467" s="79"/>
      <c r="AW467" s="79"/>
      <c r="AX467" s="79"/>
      <c r="AY467" s="79"/>
      <c r="AZ467" s="79"/>
      <c r="BA467" s="79"/>
      <c r="BB467" s="79"/>
      <c r="BC467" s="79"/>
      <c r="BD467" s="79"/>
      <c r="BE467" s="79"/>
      <c r="BF467" s="79"/>
      <c r="BG467" s="79"/>
      <c r="BH467" s="79"/>
      <c r="BI467" s="79"/>
      <c r="BJ467" s="79"/>
    </row>
    <row r="468" spans="1:62" x14ac:dyDescent="0.3">
      <c r="B468" s="25"/>
      <c r="C468" s="65"/>
      <c r="D468" s="66"/>
      <c r="E468" s="66"/>
      <c r="O468" s="32"/>
      <c r="P468" s="31"/>
      <c r="Q468" s="33"/>
      <c r="R468" s="33"/>
      <c r="S468" s="31"/>
      <c r="V468" s="41"/>
      <c r="W468" s="79"/>
      <c r="X468" s="79"/>
      <c r="Y468" s="79"/>
      <c r="Z468" s="79"/>
      <c r="AA468" s="79"/>
      <c r="AB468" s="79"/>
      <c r="AC468" s="79"/>
      <c r="AD468" s="79"/>
      <c r="AE468" s="79"/>
      <c r="AF468" s="79"/>
      <c r="AG468" s="79"/>
      <c r="AH468" s="79"/>
      <c r="AI468" s="79"/>
      <c r="AJ468" s="79"/>
      <c r="AK468" s="79"/>
      <c r="AL468" s="79"/>
      <c r="AM468" s="79"/>
      <c r="AN468" s="79"/>
      <c r="AO468" s="79"/>
      <c r="AP468" s="79"/>
      <c r="AQ468" s="79"/>
      <c r="AR468" s="79"/>
      <c r="AS468" s="79"/>
      <c r="AT468" s="79"/>
      <c r="AU468" s="79"/>
      <c r="AV468" s="79"/>
      <c r="AW468" s="79"/>
      <c r="AX468" s="79"/>
      <c r="AY468" s="79"/>
      <c r="AZ468" s="79"/>
      <c r="BA468" s="79"/>
      <c r="BB468" s="79"/>
      <c r="BC468" s="79"/>
      <c r="BD468" s="79"/>
      <c r="BE468" s="79"/>
      <c r="BF468" s="79"/>
      <c r="BG468" s="79"/>
      <c r="BH468" s="79"/>
      <c r="BI468" s="79"/>
      <c r="BJ468" s="79"/>
    </row>
    <row r="469" spans="1:62" x14ac:dyDescent="0.3">
      <c r="B469" s="25"/>
      <c r="C469" s="65"/>
      <c r="D469" s="66"/>
      <c r="F469" s="54"/>
      <c r="O469" s="32"/>
      <c r="P469" s="31"/>
      <c r="Q469" s="33"/>
      <c r="R469" s="33"/>
      <c r="S469" s="31"/>
      <c r="V469" s="41"/>
      <c r="W469" s="79"/>
      <c r="X469" s="79"/>
      <c r="Y469" s="79"/>
      <c r="Z469" s="79"/>
      <c r="AA469" s="79"/>
      <c r="AB469" s="79"/>
      <c r="AC469" s="79"/>
      <c r="AD469" s="79"/>
      <c r="AE469" s="79"/>
      <c r="AF469" s="79"/>
      <c r="AG469" s="79"/>
      <c r="AH469" s="79"/>
      <c r="AI469" s="79"/>
      <c r="AJ469" s="79"/>
      <c r="AK469" s="79"/>
      <c r="AL469" s="79"/>
      <c r="AM469" s="79"/>
      <c r="AN469" s="79"/>
      <c r="AO469" s="79"/>
      <c r="AP469" s="79"/>
      <c r="AQ469" s="79"/>
      <c r="AR469" s="79"/>
      <c r="AS469" s="79"/>
      <c r="AT469" s="79"/>
      <c r="AU469" s="79"/>
      <c r="AV469" s="79"/>
      <c r="AW469" s="79"/>
      <c r="AX469" s="79"/>
      <c r="AY469" s="79"/>
      <c r="AZ469" s="79"/>
      <c r="BA469" s="79"/>
      <c r="BB469" s="79"/>
      <c r="BC469" s="79"/>
      <c r="BD469" s="79"/>
      <c r="BE469" s="79"/>
      <c r="BF469" s="79"/>
      <c r="BG469" s="79"/>
      <c r="BH469" s="79"/>
      <c r="BI469" s="79"/>
      <c r="BJ469" s="79"/>
    </row>
    <row r="470" spans="1:62" x14ac:dyDescent="0.3">
      <c r="B470" s="25"/>
      <c r="D470" s="66"/>
      <c r="E470" s="66"/>
      <c r="F470" s="54"/>
      <c r="O470" s="32"/>
      <c r="P470" s="31"/>
      <c r="Q470" s="33"/>
      <c r="R470" s="33"/>
      <c r="S470" s="31"/>
      <c r="V470" s="41"/>
      <c r="W470" s="79"/>
      <c r="X470" s="79"/>
      <c r="Y470" s="79"/>
      <c r="Z470" s="79"/>
      <c r="AA470" s="79"/>
      <c r="AB470" s="79"/>
      <c r="AC470" s="79"/>
      <c r="AD470" s="79"/>
      <c r="AE470" s="79"/>
      <c r="AF470" s="79"/>
      <c r="AG470" s="79"/>
      <c r="AH470" s="79"/>
      <c r="AI470" s="79"/>
      <c r="AJ470" s="79"/>
      <c r="AK470" s="79"/>
      <c r="AL470" s="79"/>
      <c r="AM470" s="79"/>
      <c r="AN470" s="79"/>
      <c r="AO470" s="79"/>
      <c r="AP470" s="79"/>
      <c r="AQ470" s="79"/>
      <c r="AR470" s="79"/>
      <c r="AS470" s="79"/>
      <c r="AT470" s="79"/>
      <c r="AU470" s="79"/>
      <c r="AV470" s="79"/>
      <c r="AW470" s="79"/>
      <c r="AX470" s="79"/>
      <c r="AY470" s="79"/>
      <c r="AZ470" s="79"/>
      <c r="BA470" s="79"/>
      <c r="BB470" s="79"/>
      <c r="BC470" s="79"/>
      <c r="BD470" s="79"/>
      <c r="BE470" s="79"/>
      <c r="BF470" s="79"/>
      <c r="BG470" s="79"/>
      <c r="BH470" s="79"/>
      <c r="BI470" s="79"/>
      <c r="BJ470" s="79"/>
    </row>
    <row r="471" spans="1:62" x14ac:dyDescent="0.3">
      <c r="B471" s="25"/>
      <c r="C471" s="66"/>
      <c r="D471" s="66"/>
      <c r="E471" s="66"/>
      <c r="F471" s="54"/>
      <c r="O471" s="32"/>
      <c r="P471" s="31"/>
      <c r="Q471" s="33"/>
      <c r="R471" s="33"/>
      <c r="S471" s="31"/>
      <c r="V471" s="41"/>
      <c r="W471" s="88"/>
      <c r="X471" s="88"/>
      <c r="Y471" s="88"/>
      <c r="Z471" s="88"/>
      <c r="AA471" s="88"/>
      <c r="AB471" s="88"/>
      <c r="AC471" s="88"/>
      <c r="AD471" s="88"/>
      <c r="AE471" s="88"/>
      <c r="AF471" s="88"/>
      <c r="AG471" s="88"/>
      <c r="AH471" s="88"/>
      <c r="AI471" s="88"/>
      <c r="AJ471" s="88"/>
      <c r="AK471" s="88"/>
      <c r="AL471" s="88"/>
      <c r="AM471" s="88"/>
      <c r="AN471" s="88"/>
      <c r="AO471" s="88"/>
      <c r="AP471" s="88"/>
      <c r="AQ471" s="88"/>
      <c r="AR471" s="88"/>
      <c r="AS471" s="88"/>
      <c r="AT471" s="88"/>
      <c r="AU471" s="88"/>
      <c r="AV471" s="88"/>
      <c r="AW471" s="88"/>
      <c r="AX471" s="88"/>
      <c r="AY471" s="88"/>
      <c r="AZ471" s="88"/>
      <c r="BA471" s="88"/>
      <c r="BB471" s="88"/>
      <c r="BC471" s="88"/>
      <c r="BD471" s="88"/>
      <c r="BE471" s="88"/>
      <c r="BF471" s="88"/>
      <c r="BG471" s="88"/>
      <c r="BH471" s="88"/>
      <c r="BI471" s="88"/>
      <c r="BJ471" s="88"/>
    </row>
    <row r="472" spans="1:62" x14ac:dyDescent="0.3">
      <c r="B472" s="67"/>
      <c r="C472" s="68"/>
      <c r="D472" s="66"/>
      <c r="E472" s="66"/>
      <c r="F472" s="54"/>
      <c r="O472" s="32"/>
      <c r="P472" s="31"/>
      <c r="Q472" s="33"/>
      <c r="R472" s="33"/>
      <c r="S472" s="31"/>
      <c r="V472" s="41"/>
      <c r="W472" s="88"/>
      <c r="X472" s="88"/>
      <c r="Y472" s="88"/>
      <c r="Z472" s="88"/>
      <c r="AA472" s="88"/>
      <c r="AB472" s="88"/>
      <c r="AC472" s="88"/>
      <c r="AD472" s="88"/>
      <c r="AE472" s="88"/>
      <c r="AF472" s="88"/>
      <c r="AG472" s="88"/>
      <c r="AH472" s="88"/>
      <c r="AI472" s="88"/>
      <c r="AJ472" s="88"/>
      <c r="AK472" s="88"/>
      <c r="AL472" s="88"/>
      <c r="AM472" s="88"/>
      <c r="AN472" s="88"/>
      <c r="AO472" s="88"/>
      <c r="AP472" s="88"/>
      <c r="AQ472" s="88"/>
      <c r="AR472" s="88"/>
      <c r="AS472" s="88"/>
      <c r="AT472" s="88"/>
      <c r="AU472" s="88"/>
      <c r="AV472" s="88"/>
      <c r="AW472" s="88"/>
      <c r="AX472" s="88"/>
      <c r="AY472" s="88"/>
      <c r="AZ472" s="88"/>
      <c r="BA472" s="88"/>
      <c r="BB472" s="88"/>
      <c r="BC472" s="88"/>
      <c r="BD472" s="88"/>
      <c r="BE472" s="88"/>
      <c r="BF472" s="88"/>
      <c r="BG472" s="88"/>
      <c r="BH472" s="88"/>
      <c r="BI472" s="88"/>
      <c r="BJ472" s="88"/>
    </row>
    <row r="473" spans="1:62" x14ac:dyDescent="0.3">
      <c r="B473" s="67"/>
      <c r="C473" s="69"/>
      <c r="D473" s="65"/>
      <c r="E473" s="66"/>
      <c r="O473" s="32"/>
      <c r="P473" s="31"/>
      <c r="Q473" s="33"/>
      <c r="R473" s="33"/>
      <c r="S473" s="31"/>
      <c r="V473" s="41"/>
      <c r="W473" s="88"/>
      <c r="X473" s="88"/>
      <c r="Y473" s="88"/>
      <c r="Z473" s="88"/>
      <c r="AA473" s="88"/>
      <c r="AB473" s="88"/>
      <c r="AC473" s="88"/>
      <c r="AD473" s="88"/>
      <c r="AE473" s="88"/>
      <c r="AF473" s="88"/>
      <c r="AG473" s="88"/>
      <c r="AH473" s="88"/>
      <c r="AI473" s="88"/>
      <c r="AJ473" s="88"/>
      <c r="AK473" s="88"/>
      <c r="AL473" s="88"/>
      <c r="AM473" s="88"/>
      <c r="AN473" s="88"/>
      <c r="AO473" s="88"/>
      <c r="AP473" s="88"/>
      <c r="AQ473" s="88"/>
      <c r="AR473" s="88"/>
      <c r="AS473" s="88"/>
      <c r="AT473" s="88"/>
      <c r="AU473" s="88"/>
      <c r="AV473" s="88"/>
      <c r="AW473" s="88"/>
      <c r="AX473" s="88"/>
      <c r="AY473" s="88"/>
      <c r="AZ473" s="88"/>
      <c r="BA473" s="88"/>
      <c r="BB473" s="88"/>
      <c r="BC473" s="88"/>
      <c r="BD473" s="88"/>
      <c r="BE473" s="88"/>
      <c r="BF473" s="88"/>
      <c r="BG473" s="88"/>
      <c r="BH473" s="88"/>
      <c r="BI473" s="88"/>
      <c r="BJ473" s="88"/>
    </row>
    <row r="474" spans="1:62" x14ac:dyDescent="0.3">
      <c r="B474" s="25"/>
      <c r="C474" s="68"/>
      <c r="D474" s="65"/>
      <c r="E474" s="66"/>
      <c r="F474" s="50"/>
      <c r="L474" s="27"/>
      <c r="N474" s="34"/>
      <c r="O474" s="32"/>
      <c r="P474" s="31"/>
      <c r="Q474" s="33"/>
      <c r="R474" s="33"/>
      <c r="S474" s="31"/>
      <c r="V474" s="41"/>
      <c r="W474" s="88"/>
      <c r="X474" s="88"/>
      <c r="Y474" s="88"/>
      <c r="Z474" s="88"/>
      <c r="AA474" s="88"/>
      <c r="AB474" s="88"/>
      <c r="AC474" s="88"/>
      <c r="AD474" s="88"/>
      <c r="AE474" s="88"/>
      <c r="AF474" s="88"/>
      <c r="AG474" s="88"/>
      <c r="AH474" s="88"/>
      <c r="AI474" s="88"/>
      <c r="AJ474" s="88"/>
      <c r="AK474" s="88"/>
      <c r="AL474" s="88"/>
      <c r="AM474" s="88"/>
      <c r="AN474" s="88"/>
      <c r="AO474" s="88"/>
      <c r="AP474" s="88"/>
      <c r="AQ474" s="88"/>
      <c r="AR474" s="88"/>
      <c r="AS474" s="88"/>
      <c r="AT474" s="88"/>
      <c r="AU474" s="88"/>
      <c r="AV474" s="88"/>
      <c r="AW474" s="88"/>
      <c r="AX474" s="88"/>
      <c r="AY474" s="88"/>
      <c r="AZ474" s="88"/>
      <c r="BA474" s="88"/>
      <c r="BB474" s="88"/>
      <c r="BC474" s="88"/>
      <c r="BD474" s="88"/>
      <c r="BE474" s="88"/>
      <c r="BF474" s="88"/>
      <c r="BG474" s="88"/>
      <c r="BH474" s="88"/>
      <c r="BI474" s="88"/>
      <c r="BJ474" s="88"/>
    </row>
    <row r="475" spans="1:62" x14ac:dyDescent="0.3">
      <c r="H475" s="25"/>
      <c r="I475" s="50"/>
      <c r="L475" s="27"/>
      <c r="N475" s="34"/>
      <c r="O475" s="32"/>
      <c r="P475" s="31"/>
      <c r="Q475" s="33"/>
      <c r="R475" s="33"/>
      <c r="S475" s="31"/>
      <c r="V475" s="41"/>
      <c r="W475" s="88"/>
      <c r="X475" s="88"/>
      <c r="Y475" s="88"/>
      <c r="Z475" s="88"/>
      <c r="AA475" s="88"/>
      <c r="AB475" s="88"/>
      <c r="AC475" s="88"/>
      <c r="AD475" s="88"/>
      <c r="AE475" s="88"/>
      <c r="AF475" s="88"/>
      <c r="AG475" s="88"/>
      <c r="AH475" s="88"/>
      <c r="AI475" s="88"/>
      <c r="AJ475" s="88"/>
      <c r="AK475" s="88"/>
      <c r="AL475" s="88"/>
      <c r="AM475" s="88"/>
      <c r="AN475" s="88"/>
      <c r="AO475" s="88"/>
      <c r="AP475" s="88"/>
      <c r="AQ475" s="88"/>
      <c r="AR475" s="88"/>
      <c r="AS475" s="88"/>
      <c r="AT475" s="88"/>
      <c r="AU475" s="88"/>
      <c r="AV475" s="88"/>
      <c r="AW475" s="88"/>
      <c r="AX475" s="88"/>
      <c r="AY475" s="88"/>
      <c r="AZ475" s="88"/>
      <c r="BA475" s="88"/>
      <c r="BB475" s="88"/>
      <c r="BC475" s="88"/>
      <c r="BD475" s="88"/>
      <c r="BE475" s="88"/>
      <c r="BF475" s="88"/>
      <c r="BG475" s="88"/>
      <c r="BH475" s="88"/>
      <c r="BI475" s="88"/>
      <c r="BJ475" s="88"/>
    </row>
    <row r="476" spans="1:62" x14ac:dyDescent="0.3">
      <c r="B476" s="72"/>
      <c r="C476" s="65"/>
      <c r="D476" s="66"/>
      <c r="H476" s="25"/>
      <c r="I476" s="50"/>
      <c r="J476" s="50"/>
      <c r="L476" s="27"/>
      <c r="N476" s="34"/>
      <c r="O476" s="32"/>
      <c r="P476" s="31"/>
      <c r="Q476" s="33"/>
      <c r="R476" s="33"/>
      <c r="S476" s="31"/>
      <c r="V476" s="41"/>
      <c r="W476" s="88"/>
      <c r="X476" s="88"/>
      <c r="Y476" s="88"/>
      <c r="Z476" s="88"/>
      <c r="AA476" s="88"/>
      <c r="AB476" s="88"/>
      <c r="AC476" s="88"/>
      <c r="AD476" s="88"/>
      <c r="AE476" s="88"/>
      <c r="AF476" s="88"/>
      <c r="AG476" s="88"/>
      <c r="AH476" s="88"/>
      <c r="AI476" s="88"/>
      <c r="AJ476" s="88"/>
      <c r="AK476" s="88"/>
      <c r="AL476" s="88"/>
      <c r="AM476" s="88"/>
      <c r="AN476" s="88"/>
      <c r="AO476" s="88"/>
      <c r="AP476" s="88"/>
      <c r="AQ476" s="88"/>
      <c r="AR476" s="88"/>
      <c r="AS476" s="88"/>
      <c r="AT476" s="88"/>
      <c r="AU476" s="88"/>
      <c r="AV476" s="88"/>
      <c r="AW476" s="88"/>
      <c r="AX476" s="88"/>
      <c r="AY476" s="88"/>
      <c r="AZ476" s="88"/>
      <c r="BA476" s="88"/>
      <c r="BB476" s="88"/>
      <c r="BC476" s="88"/>
      <c r="BD476" s="88"/>
      <c r="BE476" s="88"/>
      <c r="BF476" s="88"/>
      <c r="BG476" s="88"/>
      <c r="BH476" s="88"/>
      <c r="BI476" s="88"/>
      <c r="BJ476" s="88"/>
    </row>
    <row r="477" spans="1:62" x14ac:dyDescent="0.3">
      <c r="C477" s="66"/>
      <c r="D477" s="66"/>
      <c r="F477" s="54"/>
      <c r="H477" s="25"/>
      <c r="I477" s="50"/>
      <c r="L477" s="27"/>
      <c r="N477" s="34"/>
      <c r="O477" s="32"/>
      <c r="P477" s="31"/>
      <c r="Q477" s="33"/>
      <c r="R477" s="33"/>
      <c r="S477" s="31"/>
      <c r="V477" s="41"/>
      <c r="W477" s="88"/>
      <c r="X477" s="88"/>
      <c r="Y477" s="88"/>
      <c r="Z477" s="88"/>
      <c r="AA477" s="88"/>
      <c r="AB477" s="88"/>
      <c r="AC477" s="88"/>
      <c r="AD477" s="88"/>
      <c r="AE477" s="88"/>
      <c r="AF477" s="88"/>
      <c r="AG477" s="88"/>
      <c r="AH477" s="88"/>
      <c r="AI477" s="88"/>
      <c r="AJ477" s="88"/>
      <c r="AK477" s="88"/>
      <c r="AL477" s="88"/>
      <c r="AM477" s="88"/>
      <c r="AN477" s="88"/>
      <c r="AO477" s="88"/>
      <c r="AP477" s="88"/>
      <c r="AQ477" s="88"/>
      <c r="AR477" s="88"/>
      <c r="AS477" s="88"/>
      <c r="AT477" s="88"/>
      <c r="AU477" s="88"/>
      <c r="AV477" s="88"/>
      <c r="AW477" s="88"/>
      <c r="AX477" s="88"/>
      <c r="AY477" s="88"/>
      <c r="AZ477" s="88"/>
      <c r="BA477" s="88"/>
      <c r="BB477" s="88"/>
      <c r="BC477" s="88"/>
      <c r="BD477" s="88"/>
      <c r="BE477" s="88"/>
      <c r="BF477" s="88"/>
      <c r="BG477" s="88"/>
      <c r="BH477" s="88"/>
      <c r="BI477" s="88"/>
      <c r="BJ477" s="88"/>
    </row>
    <row r="478" spans="1:62" x14ac:dyDescent="0.3">
      <c r="C478" s="73"/>
      <c r="F478" s="54"/>
      <c r="L478" s="27"/>
      <c r="N478" s="34"/>
      <c r="O478" s="32"/>
      <c r="P478" s="31"/>
      <c r="Q478" s="33"/>
      <c r="R478" s="33"/>
      <c r="S478" s="31"/>
      <c r="V478" s="41"/>
      <c r="W478" s="88"/>
      <c r="X478" s="88"/>
      <c r="Y478" s="88"/>
      <c r="Z478" s="88"/>
      <c r="AA478" s="88"/>
      <c r="AB478" s="88"/>
      <c r="AC478" s="88"/>
      <c r="AD478" s="88"/>
      <c r="AE478" s="88"/>
      <c r="AF478" s="88"/>
      <c r="AG478" s="88"/>
      <c r="AH478" s="88"/>
      <c r="AI478" s="88"/>
      <c r="AJ478" s="88"/>
      <c r="AK478" s="88"/>
      <c r="AL478" s="88"/>
      <c r="AM478" s="88"/>
      <c r="AN478" s="88"/>
      <c r="AO478" s="88"/>
      <c r="AP478" s="88"/>
      <c r="AQ478" s="88"/>
      <c r="AR478" s="88"/>
      <c r="AS478" s="88"/>
      <c r="AT478" s="88"/>
      <c r="AU478" s="88"/>
      <c r="AV478" s="88"/>
      <c r="AW478" s="88"/>
      <c r="AX478" s="88"/>
      <c r="AY478" s="88"/>
      <c r="AZ478" s="88"/>
      <c r="BA478" s="88"/>
      <c r="BB478" s="88"/>
      <c r="BC478" s="88"/>
      <c r="BD478" s="88"/>
      <c r="BE478" s="88"/>
      <c r="BF478" s="88"/>
      <c r="BG478" s="88"/>
      <c r="BH478" s="88"/>
      <c r="BI478" s="88"/>
      <c r="BJ478" s="88"/>
    </row>
    <row r="479" spans="1:62" x14ac:dyDescent="0.3">
      <c r="C479" s="87">
        <f>COS(RADIANS(E410))*C264</f>
        <v>274.82045155558677</v>
      </c>
      <c r="D479" s="71" t="s">
        <v>11</v>
      </c>
      <c r="F479" s="54"/>
      <c r="G479" s="38"/>
      <c r="H479" s="41"/>
      <c r="I479" s="41"/>
      <c r="J479" s="41"/>
      <c r="L479" s="27"/>
      <c r="N479" s="34"/>
      <c r="O479" s="32"/>
      <c r="P479" s="31"/>
      <c r="Q479" s="33"/>
      <c r="R479" s="33"/>
      <c r="S479" s="31"/>
      <c r="V479" s="41"/>
      <c r="W479" s="88"/>
      <c r="X479" s="88"/>
      <c r="Y479" s="88"/>
      <c r="Z479" s="88"/>
      <c r="AA479" s="88"/>
      <c r="AB479" s="88"/>
      <c r="AC479" s="88"/>
      <c r="AD479" s="88"/>
      <c r="AE479" s="88"/>
      <c r="AF479" s="88"/>
      <c r="AG479" s="88"/>
      <c r="AH479" s="88"/>
      <c r="AI479" s="88"/>
      <c r="AJ479" s="88"/>
      <c r="AK479" s="88"/>
      <c r="AL479" s="88"/>
      <c r="AM479" s="88"/>
      <c r="AN479" s="88"/>
      <c r="AO479" s="88"/>
      <c r="AP479" s="88"/>
      <c r="AQ479" s="88"/>
      <c r="AR479" s="88"/>
      <c r="AS479" s="88"/>
      <c r="AT479" s="88"/>
      <c r="AU479" s="88"/>
      <c r="AV479" s="88"/>
      <c r="AW479" s="88"/>
      <c r="AX479" s="88"/>
      <c r="AY479" s="88"/>
      <c r="AZ479" s="88"/>
      <c r="BA479" s="88"/>
      <c r="BB479" s="88"/>
      <c r="BC479" s="88"/>
      <c r="BD479" s="88"/>
      <c r="BE479" s="88"/>
      <c r="BF479" s="88"/>
      <c r="BG479" s="88"/>
      <c r="BH479" s="88"/>
      <c r="BI479" s="88"/>
      <c r="BJ479" s="88"/>
    </row>
    <row r="480" spans="1:62" x14ac:dyDescent="0.3">
      <c r="B480" s="132"/>
      <c r="F480" s="25"/>
      <c r="G480" s="43"/>
      <c r="H480" s="39"/>
      <c r="I480" s="40"/>
      <c r="J480" s="41"/>
      <c r="L480" s="27"/>
      <c r="N480" s="34"/>
      <c r="O480" s="32"/>
      <c r="P480" s="31"/>
      <c r="Q480" s="33"/>
      <c r="R480" s="33"/>
      <c r="S480" s="31"/>
      <c r="V480" s="41"/>
      <c r="W480" s="88"/>
      <c r="X480" s="88"/>
      <c r="Y480" s="88"/>
      <c r="Z480" s="88"/>
      <c r="AA480" s="88"/>
      <c r="AB480" s="88"/>
      <c r="AC480" s="88"/>
      <c r="AD480" s="88"/>
      <c r="AE480" s="88"/>
      <c r="AF480" s="88"/>
      <c r="AG480" s="88"/>
      <c r="AH480" s="88"/>
      <c r="AI480" s="88"/>
      <c r="AJ480" s="88"/>
      <c r="AK480" s="88"/>
      <c r="AL480" s="88"/>
      <c r="AM480" s="88"/>
      <c r="AN480" s="88"/>
      <c r="AO480" s="88"/>
      <c r="AP480" s="88"/>
      <c r="AQ480" s="88"/>
      <c r="AR480" s="88"/>
      <c r="AS480" s="88"/>
      <c r="AT480" s="88"/>
      <c r="AU480" s="88"/>
      <c r="AV480" s="88"/>
      <c r="AW480" s="88"/>
      <c r="AX480" s="88"/>
      <c r="AY480" s="88"/>
      <c r="AZ480" s="88"/>
      <c r="BA480" s="88"/>
      <c r="BB480" s="88"/>
      <c r="BC480" s="88"/>
      <c r="BD480" s="88"/>
      <c r="BE480" s="88"/>
      <c r="BF480" s="88"/>
      <c r="BG480" s="88"/>
      <c r="BH480" s="88"/>
      <c r="BI480" s="88"/>
      <c r="BJ480" s="88"/>
    </row>
    <row r="481" spans="1:62" ht="15" x14ac:dyDescent="0.35">
      <c r="B481" s="30"/>
      <c r="C481" s="30"/>
      <c r="D481" s="25" t="s">
        <v>139</v>
      </c>
      <c r="E481" s="88">
        <f>H268*C248</f>
        <v>11560.350184413272</v>
      </c>
      <c r="F481" s="30" t="s">
        <v>38</v>
      </c>
      <c r="G481" s="43"/>
      <c r="H481" s="41"/>
      <c r="I481" s="41"/>
      <c r="J481" s="41"/>
      <c r="L481" s="27"/>
      <c r="N481" s="34"/>
      <c r="O481" s="32"/>
      <c r="P481" s="31"/>
      <c r="Q481" s="33"/>
      <c r="R481" s="33"/>
      <c r="S481" s="31"/>
      <c r="V481" s="41"/>
      <c r="W481" s="88"/>
      <c r="X481" s="88"/>
      <c r="Y481" s="88"/>
      <c r="Z481" s="88"/>
      <c r="AA481" s="88"/>
      <c r="AB481" s="88"/>
      <c r="AC481" s="88"/>
      <c r="AD481" s="88"/>
      <c r="AE481" s="88"/>
      <c r="AF481" s="88"/>
      <c r="AG481" s="88"/>
      <c r="AH481" s="88"/>
      <c r="AI481" s="88"/>
      <c r="AJ481" s="88"/>
      <c r="AK481" s="88"/>
      <c r="AL481" s="88"/>
      <c r="AM481" s="88"/>
      <c r="AN481" s="88"/>
      <c r="AO481" s="88"/>
      <c r="AP481" s="88"/>
      <c r="AQ481" s="88"/>
      <c r="AR481" s="88"/>
      <c r="AS481" s="88"/>
      <c r="AT481" s="88"/>
      <c r="AU481" s="88"/>
      <c r="AV481" s="88"/>
      <c r="AW481" s="88"/>
      <c r="AX481" s="88"/>
      <c r="AY481" s="88"/>
      <c r="AZ481" s="88"/>
      <c r="BA481" s="88"/>
      <c r="BB481" s="88"/>
      <c r="BC481" s="88"/>
      <c r="BD481" s="88"/>
      <c r="BE481" s="88"/>
      <c r="BF481" s="88"/>
      <c r="BG481" s="88"/>
      <c r="BH481" s="88"/>
      <c r="BI481" s="88"/>
      <c r="BJ481" s="88"/>
    </row>
    <row r="482" spans="1:62" ht="15" x14ac:dyDescent="0.35">
      <c r="B482" s="30"/>
      <c r="C482" s="30"/>
      <c r="D482" s="25" t="s">
        <v>143</v>
      </c>
      <c r="E482" s="88">
        <f>E481/2</f>
        <v>5780.1750922066358</v>
      </c>
      <c r="F482" s="30" t="s">
        <v>38</v>
      </c>
      <c r="G482" s="45"/>
      <c r="H482" s="60"/>
      <c r="I482" s="30"/>
      <c r="J482" s="30"/>
      <c r="L482" s="27"/>
      <c r="N482" s="34"/>
      <c r="O482" s="32"/>
      <c r="P482" s="31"/>
      <c r="Q482" s="33"/>
      <c r="R482" s="33"/>
      <c r="S482" s="31"/>
      <c r="V482" s="41"/>
      <c r="W482" s="88"/>
      <c r="X482" s="88"/>
      <c r="Y482" s="88"/>
      <c r="Z482" s="88"/>
      <c r="AA482" s="88"/>
      <c r="AB482" s="88"/>
      <c r="AC482" s="88"/>
      <c r="AD482" s="88"/>
      <c r="AE482" s="88"/>
      <c r="AF482" s="88"/>
      <c r="AG482" s="88"/>
      <c r="AH482" s="88"/>
      <c r="AI482" s="88"/>
      <c r="AJ482" s="88"/>
      <c r="AK482" s="88"/>
      <c r="AL482" s="88"/>
      <c r="AM482" s="88"/>
      <c r="AN482" s="88"/>
      <c r="AO482" s="88"/>
      <c r="AP482" s="88"/>
      <c r="AQ482" s="88"/>
      <c r="AR482" s="88"/>
      <c r="AS482" s="88"/>
      <c r="AT482" s="88"/>
      <c r="AU482" s="88"/>
      <c r="AV482" s="88"/>
      <c r="AW482" s="88"/>
      <c r="AX482" s="88"/>
      <c r="AY482" s="88"/>
      <c r="AZ482" s="88"/>
      <c r="BA482" s="88"/>
      <c r="BB482" s="88"/>
      <c r="BC482" s="88"/>
      <c r="BD482" s="88"/>
      <c r="BE482" s="88"/>
      <c r="BF482" s="88"/>
      <c r="BG482" s="88"/>
      <c r="BH482" s="88"/>
      <c r="BI482" s="88"/>
      <c r="BJ482" s="88"/>
    </row>
    <row r="483" spans="1:62" ht="15" x14ac:dyDescent="0.35">
      <c r="B483" s="72"/>
      <c r="C483" s="66"/>
      <c r="D483" s="25" t="s">
        <v>141</v>
      </c>
      <c r="E483" s="82">
        <f>G158</f>
        <v>11780</v>
      </c>
      <c r="F483" s="71" t="s">
        <v>75</v>
      </c>
      <c r="G483" s="45"/>
      <c r="H483" s="61"/>
      <c r="I483" s="30"/>
      <c r="J483" s="30"/>
      <c r="L483" s="27"/>
      <c r="N483" s="34"/>
      <c r="O483" s="32"/>
      <c r="P483" s="31"/>
      <c r="Q483" s="33"/>
      <c r="R483" s="33"/>
      <c r="S483" s="31"/>
      <c r="V483" s="41"/>
      <c r="W483" s="88"/>
      <c r="X483" s="88"/>
      <c r="Y483" s="88"/>
      <c r="Z483" s="88"/>
      <c r="AA483" s="88"/>
      <c r="AB483" s="88"/>
      <c r="AC483" s="88"/>
      <c r="AD483" s="88"/>
      <c r="AE483" s="88"/>
      <c r="AF483" s="88"/>
      <c r="AG483" s="88"/>
      <c r="AH483" s="88"/>
      <c r="AI483" s="88"/>
      <c r="AJ483" s="88"/>
      <c r="AK483" s="88"/>
      <c r="AL483" s="88"/>
      <c r="AM483" s="88"/>
      <c r="AN483" s="88"/>
      <c r="AO483" s="88"/>
      <c r="AP483" s="88"/>
      <c r="AQ483" s="88"/>
      <c r="AR483" s="88"/>
      <c r="AS483" s="88"/>
      <c r="AT483" s="88"/>
      <c r="AU483" s="88"/>
      <c r="AV483" s="88"/>
      <c r="AW483" s="88"/>
      <c r="AX483" s="88"/>
      <c r="AY483" s="88"/>
      <c r="AZ483" s="88"/>
      <c r="BA483" s="88"/>
      <c r="BB483" s="88"/>
      <c r="BC483" s="88"/>
      <c r="BD483" s="88"/>
      <c r="BE483" s="88"/>
      <c r="BF483" s="88"/>
      <c r="BG483" s="88"/>
      <c r="BH483" s="88"/>
      <c r="BI483" s="88"/>
      <c r="BJ483" s="88"/>
    </row>
    <row r="484" spans="1:62" x14ac:dyDescent="0.3">
      <c r="D484" s="72" t="s">
        <v>76</v>
      </c>
      <c r="E484" s="68">
        <f>(C479-C467)/12</f>
        <v>3.3327535708188143</v>
      </c>
      <c r="F484" s="27" t="s">
        <v>77</v>
      </c>
      <c r="G484" s="124" t="str">
        <f>"= "&amp;[1]!xln(E484)</f>
        <v>= (275 - 235) / 12</v>
      </c>
      <c r="H484" s="46"/>
      <c r="I484" s="30"/>
      <c r="J484" s="30"/>
      <c r="L484" s="27"/>
      <c r="N484" s="34"/>
      <c r="O484" s="32"/>
      <c r="P484" s="31"/>
      <c r="Q484" s="33"/>
      <c r="R484" s="33"/>
      <c r="S484" s="31"/>
      <c r="V484" s="41"/>
      <c r="W484" s="88"/>
      <c r="X484" s="88"/>
      <c r="Y484" s="88"/>
      <c r="Z484" s="88"/>
      <c r="AA484" s="88"/>
      <c r="AB484" s="88"/>
      <c r="AC484" s="88"/>
      <c r="AD484" s="88"/>
      <c r="AE484" s="88"/>
      <c r="AF484" s="88"/>
      <c r="AG484" s="88"/>
      <c r="AH484" s="88"/>
      <c r="AI484" s="88"/>
      <c r="AJ484" s="88"/>
      <c r="AK484" s="88"/>
      <c r="AL484" s="88"/>
      <c r="AM484" s="88"/>
      <c r="AN484" s="88"/>
      <c r="AO484" s="88"/>
      <c r="AP484" s="88"/>
      <c r="AQ484" s="88"/>
      <c r="AR484" s="88"/>
      <c r="AS484" s="88"/>
      <c r="AT484" s="88"/>
      <c r="AU484" s="88"/>
      <c r="AV484" s="88"/>
      <c r="AW484" s="88"/>
      <c r="AX484" s="88"/>
      <c r="AY484" s="88"/>
      <c r="AZ484" s="88"/>
      <c r="BA484" s="88"/>
      <c r="BB484" s="88"/>
      <c r="BC484" s="88"/>
      <c r="BD484" s="88"/>
      <c r="BE484" s="88"/>
      <c r="BF484" s="88"/>
      <c r="BG484" s="88"/>
      <c r="BH484" s="88"/>
      <c r="BI484" s="88"/>
      <c r="BJ484" s="88"/>
    </row>
    <row r="485" spans="1:62" x14ac:dyDescent="0.3">
      <c r="D485" s="67" t="s">
        <v>86</v>
      </c>
      <c r="E485" s="73">
        <f>E481*E484</f>
        <v>38527.798357019266</v>
      </c>
      <c r="F485" s="27" t="s">
        <v>79</v>
      </c>
      <c r="G485" s="124" t="str">
        <f>"= "&amp;[1]!xln(E485)</f>
        <v>= 11560 × 3.33</v>
      </c>
      <c r="H485" s="133"/>
      <c r="I485" s="30"/>
      <c r="J485" s="30"/>
      <c r="L485" s="27"/>
      <c r="N485" s="34"/>
      <c r="O485" s="32"/>
      <c r="P485" s="31"/>
      <c r="Q485" s="33"/>
      <c r="R485" s="33"/>
      <c r="S485" s="31"/>
      <c r="V485" s="41"/>
      <c r="W485" s="88"/>
      <c r="X485" s="88"/>
      <c r="Y485" s="88"/>
      <c r="Z485" s="88"/>
      <c r="AA485" s="88"/>
      <c r="AB485" s="88"/>
      <c r="AC485" s="88"/>
      <c r="AD485" s="88"/>
      <c r="AE485" s="88"/>
      <c r="AF485" s="88"/>
      <c r="AG485" s="88"/>
      <c r="AH485" s="88"/>
      <c r="AI485" s="88"/>
      <c r="AJ485" s="88"/>
      <c r="AK485" s="88"/>
      <c r="AL485" s="88"/>
      <c r="AM485" s="88"/>
      <c r="AN485" s="88"/>
      <c r="AO485" s="88"/>
      <c r="AP485" s="88"/>
      <c r="AQ485" s="88"/>
      <c r="AR485" s="88"/>
      <c r="AS485" s="88"/>
      <c r="AT485" s="88"/>
      <c r="AU485" s="88"/>
      <c r="AV485" s="88"/>
      <c r="AW485" s="88"/>
      <c r="AX485" s="88"/>
      <c r="AY485" s="88"/>
      <c r="AZ485" s="88"/>
      <c r="BA485" s="88"/>
      <c r="BB485" s="88"/>
      <c r="BC485" s="88"/>
      <c r="BD485" s="88"/>
      <c r="BE485" s="88"/>
      <c r="BF485" s="88"/>
      <c r="BG485" s="88"/>
      <c r="BH485" s="88"/>
      <c r="BI485" s="88"/>
      <c r="BJ485" s="88"/>
    </row>
    <row r="486" spans="1:62" x14ac:dyDescent="0.3">
      <c r="A486" s="45"/>
      <c r="B486" s="30"/>
      <c r="C486" s="30"/>
      <c r="D486" s="67" t="s">
        <v>87</v>
      </c>
      <c r="E486" s="134">
        <f>E485/E483</f>
        <v>3.2706110659608885</v>
      </c>
      <c r="F486" s="27" t="s">
        <v>82</v>
      </c>
      <c r="G486" s="124" t="str">
        <f>"= "&amp;[1]!xln(E486)</f>
        <v>= 38528 / 11780</v>
      </c>
      <c r="H486" s="64"/>
      <c r="L486" s="27"/>
      <c r="N486" s="34"/>
      <c r="O486" s="32"/>
      <c r="P486" s="31"/>
      <c r="Q486" s="33"/>
      <c r="R486" s="33"/>
      <c r="S486" s="31"/>
      <c r="V486" s="41"/>
      <c r="W486" s="88"/>
      <c r="X486" s="88"/>
      <c r="Y486" s="88"/>
      <c r="Z486" s="88"/>
      <c r="AA486" s="88"/>
      <c r="AB486" s="88"/>
      <c r="AC486" s="88"/>
      <c r="AD486" s="88"/>
      <c r="AE486" s="88"/>
      <c r="AF486" s="88"/>
      <c r="AG486" s="88"/>
      <c r="AH486" s="88"/>
      <c r="AI486" s="88"/>
      <c r="AJ486" s="88"/>
      <c r="AK486" s="88"/>
      <c r="AL486" s="88"/>
      <c r="AM486" s="88"/>
      <c r="AN486" s="88"/>
      <c r="AO486" s="88"/>
      <c r="AP486" s="88"/>
      <c r="AQ486" s="88"/>
      <c r="AR486" s="88"/>
      <c r="AS486" s="88"/>
      <c r="AT486" s="88"/>
      <c r="AU486" s="88"/>
      <c r="AV486" s="88"/>
      <c r="AW486" s="88"/>
      <c r="AX486" s="88"/>
      <c r="AY486" s="88"/>
      <c r="AZ486" s="88"/>
      <c r="BA486" s="88"/>
      <c r="BB486" s="88"/>
      <c r="BC486" s="88"/>
      <c r="BD486" s="88"/>
      <c r="BE486" s="88"/>
      <c r="BF486" s="88"/>
      <c r="BG486" s="88"/>
      <c r="BH486" s="88"/>
      <c r="BI486" s="88"/>
      <c r="BJ486" s="88"/>
    </row>
    <row r="487" spans="1:62" x14ac:dyDescent="0.3">
      <c r="B487" s="72"/>
      <c r="C487" s="73"/>
      <c r="D487" s="66"/>
      <c r="E487" s="66"/>
      <c r="F487" s="54"/>
      <c r="L487" s="27"/>
      <c r="N487" s="34"/>
      <c r="O487" s="32"/>
      <c r="P487" s="31"/>
      <c r="Q487" s="33"/>
      <c r="R487" s="33"/>
      <c r="S487" s="31"/>
      <c r="V487" s="41"/>
      <c r="W487" s="88"/>
      <c r="X487" s="88"/>
      <c r="Y487" s="88"/>
      <c r="Z487" s="88"/>
      <c r="AA487" s="88"/>
      <c r="AB487" s="88"/>
      <c r="AC487" s="88"/>
      <c r="AD487" s="88"/>
      <c r="AE487" s="88"/>
      <c r="AF487" s="88"/>
      <c r="AG487" s="88"/>
      <c r="AH487" s="88"/>
      <c r="AI487" s="88"/>
      <c r="AJ487" s="88"/>
      <c r="AK487" s="88"/>
      <c r="AL487" s="88"/>
      <c r="AM487" s="88"/>
      <c r="AN487" s="88"/>
      <c r="AO487" s="88"/>
      <c r="AP487" s="88"/>
      <c r="AQ487" s="88"/>
      <c r="AR487" s="88"/>
      <c r="AS487" s="88"/>
      <c r="AT487" s="88"/>
      <c r="AU487" s="88"/>
      <c r="AV487" s="88"/>
      <c r="AW487" s="88"/>
      <c r="AX487" s="88"/>
      <c r="AY487" s="88"/>
      <c r="AZ487" s="88"/>
      <c r="BA487" s="88"/>
      <c r="BB487" s="88"/>
      <c r="BC487" s="88"/>
      <c r="BD487" s="88"/>
      <c r="BE487" s="88"/>
      <c r="BF487" s="88"/>
      <c r="BG487" s="88"/>
      <c r="BH487" s="88"/>
      <c r="BI487" s="88"/>
      <c r="BJ487" s="88"/>
    </row>
    <row r="488" spans="1:62" x14ac:dyDescent="0.3">
      <c r="B488" s="72"/>
      <c r="C488" s="134"/>
      <c r="D488" s="66"/>
      <c r="E488" s="66"/>
      <c r="F488" s="54"/>
      <c r="L488" s="27"/>
      <c r="N488" s="34"/>
      <c r="O488" s="32"/>
      <c r="P488" s="31"/>
      <c r="Q488" s="33"/>
      <c r="R488" s="33"/>
      <c r="S488" s="31"/>
      <c r="V488" s="41"/>
      <c r="W488" s="88"/>
      <c r="X488" s="88"/>
      <c r="Y488" s="88"/>
      <c r="Z488" s="88"/>
      <c r="AA488" s="88"/>
      <c r="AB488" s="88"/>
      <c r="AC488" s="88"/>
      <c r="AD488" s="88"/>
      <c r="AE488" s="88"/>
      <c r="AF488" s="88"/>
      <c r="AG488" s="88"/>
      <c r="AH488" s="88"/>
      <c r="AI488" s="88"/>
      <c r="AJ488" s="88"/>
      <c r="AK488" s="88"/>
      <c r="AL488" s="88"/>
      <c r="AM488" s="88"/>
      <c r="AN488" s="88"/>
      <c r="AO488" s="88"/>
      <c r="AP488" s="88"/>
      <c r="AQ488" s="88"/>
      <c r="AR488" s="88"/>
      <c r="AS488" s="88"/>
      <c r="AT488" s="88"/>
      <c r="AU488" s="88"/>
      <c r="AV488" s="88"/>
      <c r="AW488" s="88"/>
      <c r="AX488" s="88"/>
      <c r="AY488" s="88"/>
      <c r="AZ488" s="88"/>
      <c r="BA488" s="88"/>
      <c r="BB488" s="88"/>
      <c r="BC488" s="88"/>
      <c r="BD488" s="88"/>
      <c r="BE488" s="88"/>
      <c r="BF488" s="88"/>
      <c r="BG488" s="88"/>
      <c r="BH488" s="88"/>
      <c r="BI488" s="88"/>
      <c r="BJ488" s="88"/>
    </row>
    <row r="489" spans="1:62" x14ac:dyDescent="0.3">
      <c r="B489" s="67"/>
      <c r="C489" s="65"/>
      <c r="D489" s="65"/>
      <c r="E489" s="66"/>
      <c r="F489" s="54"/>
      <c r="L489" s="27"/>
      <c r="N489" s="34"/>
      <c r="O489" s="32"/>
      <c r="P489" s="31"/>
      <c r="Q489" s="33"/>
      <c r="R489" s="33"/>
      <c r="S489" s="31"/>
      <c r="V489" s="41"/>
    </row>
    <row r="490" spans="1:62" x14ac:dyDescent="0.3">
      <c r="A490" s="37"/>
      <c r="B490" s="49" t="str">
        <f>B389</f>
        <v>Maximum Landing Weight Case</v>
      </c>
      <c r="C490" s="30"/>
      <c r="D490" s="30"/>
      <c r="E490" s="30"/>
      <c r="F490" s="30"/>
      <c r="G490" s="30"/>
      <c r="H490" s="30"/>
      <c r="I490" s="30"/>
      <c r="J490" s="30"/>
      <c r="K490" s="30"/>
      <c r="L490" s="27"/>
      <c r="N490" s="34"/>
      <c r="O490" s="32"/>
      <c r="P490" s="31"/>
      <c r="Q490" s="33"/>
      <c r="R490" s="33"/>
      <c r="S490" s="31"/>
      <c r="V490" s="41"/>
      <c r="W490" s="79"/>
      <c r="X490" s="79"/>
      <c r="Y490" s="79"/>
      <c r="Z490" s="79"/>
      <c r="AA490" s="79"/>
      <c r="AB490" s="79"/>
      <c r="AC490" s="79"/>
      <c r="AD490" s="79"/>
      <c r="AE490" s="79"/>
      <c r="AF490" s="79"/>
      <c r="AG490" s="79"/>
      <c r="AH490" s="79"/>
      <c r="AI490" s="79"/>
      <c r="AJ490" s="79"/>
      <c r="AK490" s="79"/>
      <c r="AL490" s="79"/>
      <c r="AM490" s="79"/>
      <c r="AN490" s="79"/>
      <c r="AO490" s="79"/>
      <c r="AP490" s="79"/>
      <c r="AQ490" s="79"/>
      <c r="AR490" s="79"/>
      <c r="AS490" s="79"/>
      <c r="AT490" s="79"/>
      <c r="AU490" s="79"/>
      <c r="AV490" s="79"/>
      <c r="AW490" s="79"/>
      <c r="AX490" s="79"/>
      <c r="AY490" s="79"/>
      <c r="AZ490" s="79"/>
      <c r="BA490" s="79"/>
      <c r="BB490" s="79"/>
      <c r="BC490" s="79"/>
      <c r="BD490" s="79"/>
      <c r="BE490" s="79"/>
      <c r="BF490" s="79"/>
      <c r="BG490" s="79"/>
      <c r="BH490" s="79"/>
      <c r="BI490" s="79"/>
      <c r="BJ490" s="79"/>
    </row>
    <row r="491" spans="1:62" x14ac:dyDescent="0.3">
      <c r="B491" s="25"/>
      <c r="C491" s="65"/>
      <c r="D491" s="65"/>
      <c r="E491" s="66"/>
      <c r="O491" s="32"/>
      <c r="P491" s="31"/>
      <c r="Q491" s="33"/>
      <c r="R491" s="33"/>
      <c r="S491" s="31"/>
      <c r="V491" s="41"/>
      <c r="W491" s="79"/>
      <c r="X491" s="79"/>
      <c r="Y491" s="79"/>
      <c r="Z491" s="79"/>
      <c r="AA491" s="79"/>
      <c r="AB491" s="79"/>
      <c r="AC491" s="79"/>
      <c r="AD491" s="79"/>
      <c r="AE491" s="79"/>
      <c r="AF491" s="79"/>
      <c r="AG491" s="79"/>
      <c r="AH491" s="79"/>
      <c r="AI491" s="79"/>
      <c r="AJ491" s="79"/>
      <c r="AK491" s="79"/>
      <c r="AL491" s="79"/>
      <c r="AM491" s="79"/>
      <c r="AN491" s="79"/>
      <c r="AO491" s="79"/>
      <c r="AP491" s="79"/>
      <c r="AQ491" s="79"/>
      <c r="AR491" s="79"/>
      <c r="AS491" s="79"/>
      <c r="AT491" s="79"/>
      <c r="AU491" s="79"/>
      <c r="AV491" s="79"/>
      <c r="AW491" s="79"/>
      <c r="AX491" s="79"/>
      <c r="AY491" s="79"/>
      <c r="AZ491" s="79"/>
      <c r="BA491" s="79"/>
      <c r="BB491" s="79"/>
      <c r="BC491" s="79"/>
      <c r="BD491" s="79"/>
      <c r="BE491" s="79"/>
      <c r="BF491" s="79"/>
      <c r="BG491" s="79"/>
      <c r="BH491" s="79"/>
      <c r="BI491" s="79"/>
      <c r="BJ491" s="79"/>
    </row>
    <row r="492" spans="1:62" x14ac:dyDescent="0.3">
      <c r="C492" s="86">
        <f>COS(RADIANS(E410))*C274</f>
        <v>216.97284414364967</v>
      </c>
      <c r="D492" s="27" t="s">
        <v>11</v>
      </c>
      <c r="E492" s="66"/>
      <c r="F492" s="53"/>
      <c r="O492" s="32"/>
      <c r="P492" s="31"/>
      <c r="Q492" s="33"/>
      <c r="R492" s="33"/>
      <c r="S492" s="31"/>
      <c r="V492" s="41"/>
      <c r="W492" s="79"/>
      <c r="X492" s="79"/>
      <c r="Y492" s="79"/>
      <c r="Z492" s="79"/>
      <c r="AA492" s="79"/>
      <c r="AB492" s="79"/>
      <c r="AC492" s="79"/>
      <c r="AD492" s="79"/>
      <c r="AE492" s="79"/>
      <c r="AF492" s="79"/>
      <c r="AG492" s="79"/>
      <c r="AH492" s="79"/>
      <c r="AI492" s="79"/>
      <c r="AJ492" s="79"/>
      <c r="AK492" s="79"/>
      <c r="AL492" s="79"/>
      <c r="AM492" s="79"/>
      <c r="AN492" s="79"/>
      <c r="AO492" s="79"/>
      <c r="AP492" s="79"/>
      <c r="AQ492" s="79"/>
      <c r="AR492" s="79"/>
      <c r="AS492" s="79"/>
      <c r="AT492" s="79"/>
      <c r="AU492" s="79"/>
      <c r="AV492" s="79"/>
      <c r="AW492" s="79"/>
      <c r="AX492" s="79"/>
      <c r="AY492" s="79"/>
      <c r="AZ492" s="79"/>
      <c r="BA492" s="79"/>
      <c r="BB492" s="79"/>
      <c r="BC492" s="79"/>
      <c r="BD492" s="79"/>
      <c r="BE492" s="79"/>
      <c r="BF492" s="79"/>
      <c r="BG492" s="79"/>
      <c r="BH492" s="79"/>
      <c r="BI492" s="79"/>
      <c r="BJ492" s="79"/>
    </row>
    <row r="493" spans="1:62" x14ac:dyDescent="0.3">
      <c r="B493" s="25"/>
      <c r="C493" s="65"/>
      <c r="D493" s="66"/>
      <c r="E493" s="66"/>
      <c r="O493" s="32"/>
      <c r="P493" s="31"/>
      <c r="Q493" s="33"/>
      <c r="R493" s="33"/>
      <c r="S493" s="31"/>
      <c r="V493" s="41"/>
      <c r="W493" s="79"/>
      <c r="X493" s="79"/>
      <c r="Y493" s="79"/>
      <c r="Z493" s="79"/>
      <c r="AA493" s="79"/>
      <c r="AB493" s="79"/>
      <c r="AC493" s="79"/>
      <c r="AD493" s="79"/>
      <c r="AE493" s="79"/>
      <c r="AF493" s="79"/>
      <c r="AG493" s="79"/>
      <c r="AH493" s="79"/>
      <c r="AI493" s="79"/>
      <c r="AJ493" s="79"/>
      <c r="AK493" s="79"/>
      <c r="AL493" s="79"/>
      <c r="AM493" s="79"/>
      <c r="AN493" s="79"/>
      <c r="AO493" s="79"/>
      <c r="AP493" s="79"/>
      <c r="AQ493" s="79"/>
      <c r="AR493" s="79"/>
      <c r="AS493" s="79"/>
      <c r="AT493" s="79"/>
      <c r="AU493" s="79"/>
      <c r="AV493" s="79"/>
      <c r="AW493" s="79"/>
      <c r="AX493" s="79"/>
      <c r="AY493" s="79"/>
      <c r="AZ493" s="79"/>
      <c r="BA493" s="79"/>
      <c r="BB493" s="79"/>
      <c r="BC493" s="79"/>
      <c r="BD493" s="79"/>
      <c r="BE493" s="79"/>
      <c r="BF493" s="79"/>
      <c r="BG493" s="79"/>
      <c r="BH493" s="79"/>
      <c r="BI493" s="79"/>
      <c r="BJ493" s="79"/>
    </row>
    <row r="494" spans="1:62" x14ac:dyDescent="0.3">
      <c r="B494" s="25"/>
      <c r="C494" s="65"/>
      <c r="D494" s="66"/>
      <c r="F494" s="54"/>
      <c r="O494" s="32"/>
      <c r="P494" s="31"/>
      <c r="Q494" s="33"/>
      <c r="R494" s="33"/>
      <c r="S494" s="31"/>
      <c r="V494" s="41"/>
      <c r="W494" s="79"/>
      <c r="X494" s="79"/>
      <c r="Y494" s="79"/>
      <c r="Z494" s="79"/>
      <c r="AA494" s="79"/>
      <c r="AB494" s="79"/>
      <c r="AC494" s="79"/>
      <c r="AD494" s="79"/>
      <c r="AE494" s="79"/>
      <c r="AF494" s="79"/>
      <c r="AG494" s="79"/>
      <c r="AH494" s="79"/>
      <c r="AI494" s="79"/>
      <c r="AJ494" s="79"/>
      <c r="AK494" s="79"/>
      <c r="AL494" s="79"/>
      <c r="AM494" s="79"/>
      <c r="AN494" s="79"/>
      <c r="AO494" s="79"/>
      <c r="AP494" s="79"/>
      <c r="AQ494" s="79"/>
      <c r="AR494" s="79"/>
      <c r="AS494" s="79"/>
      <c r="AT494" s="79"/>
      <c r="AU494" s="79"/>
      <c r="AV494" s="79"/>
      <c r="AW494" s="79"/>
      <c r="AX494" s="79"/>
      <c r="AY494" s="79"/>
      <c r="AZ494" s="79"/>
      <c r="BA494" s="79"/>
      <c r="BB494" s="79"/>
      <c r="BC494" s="79"/>
      <c r="BD494" s="79"/>
      <c r="BE494" s="79"/>
      <c r="BF494" s="79"/>
      <c r="BG494" s="79"/>
      <c r="BH494" s="79"/>
      <c r="BI494" s="79"/>
      <c r="BJ494" s="79"/>
    </row>
    <row r="495" spans="1:62" x14ac:dyDescent="0.3">
      <c r="B495" s="25"/>
      <c r="D495" s="66"/>
      <c r="E495" s="66"/>
      <c r="F495" s="54"/>
      <c r="O495" s="32"/>
      <c r="P495" s="31"/>
      <c r="Q495" s="33"/>
      <c r="R495" s="33"/>
      <c r="S495" s="31"/>
      <c r="V495" s="41"/>
      <c r="W495" s="79"/>
      <c r="X495" s="79"/>
      <c r="Y495" s="79"/>
      <c r="Z495" s="79"/>
      <c r="AA495" s="79"/>
      <c r="AB495" s="79"/>
      <c r="AC495" s="79"/>
      <c r="AD495" s="79"/>
      <c r="AE495" s="79"/>
      <c r="AF495" s="79"/>
      <c r="AG495" s="79"/>
      <c r="AH495" s="79"/>
      <c r="AI495" s="79"/>
      <c r="AJ495" s="79"/>
      <c r="AK495" s="79"/>
      <c r="AL495" s="79"/>
      <c r="AM495" s="79"/>
      <c r="AN495" s="79"/>
      <c r="AO495" s="79"/>
      <c r="AP495" s="79"/>
      <c r="AQ495" s="79"/>
      <c r="AR495" s="79"/>
      <c r="AS495" s="79"/>
      <c r="AT495" s="79"/>
      <c r="AU495" s="79"/>
      <c r="AV495" s="79"/>
      <c r="AW495" s="79"/>
      <c r="AX495" s="79"/>
      <c r="AY495" s="79"/>
      <c r="AZ495" s="79"/>
      <c r="BA495" s="79"/>
      <c r="BB495" s="79"/>
      <c r="BC495" s="79"/>
      <c r="BD495" s="79"/>
      <c r="BE495" s="79"/>
      <c r="BF495" s="79"/>
      <c r="BG495" s="79"/>
      <c r="BH495" s="79"/>
      <c r="BI495" s="79"/>
      <c r="BJ495" s="79"/>
    </row>
    <row r="496" spans="1:62" x14ac:dyDescent="0.3">
      <c r="B496" s="25"/>
      <c r="C496" s="66"/>
      <c r="D496" s="66"/>
      <c r="E496" s="66"/>
      <c r="F496" s="54"/>
      <c r="O496" s="32"/>
      <c r="P496" s="31"/>
      <c r="Q496" s="33"/>
      <c r="R496" s="33"/>
      <c r="S496" s="31"/>
      <c r="V496" s="41"/>
      <c r="W496" s="88"/>
      <c r="X496" s="88"/>
      <c r="Y496" s="88"/>
      <c r="Z496" s="88"/>
      <c r="AA496" s="88"/>
      <c r="AB496" s="88"/>
      <c r="AC496" s="88"/>
      <c r="AD496" s="88"/>
      <c r="AE496" s="88"/>
      <c r="AF496" s="88"/>
      <c r="AG496" s="88"/>
      <c r="AH496" s="88"/>
      <c r="AI496" s="88"/>
      <c r="AJ496" s="88"/>
      <c r="AK496" s="88"/>
      <c r="AL496" s="88"/>
      <c r="AM496" s="88"/>
      <c r="AN496" s="88"/>
      <c r="AO496" s="88"/>
      <c r="AP496" s="88"/>
      <c r="AQ496" s="88"/>
      <c r="AR496" s="88"/>
      <c r="AS496" s="88"/>
      <c r="AT496" s="88"/>
      <c r="AU496" s="88"/>
      <c r="AV496" s="88"/>
      <c r="AW496" s="88"/>
      <c r="AX496" s="88"/>
      <c r="AY496" s="88"/>
      <c r="AZ496" s="88"/>
      <c r="BA496" s="88"/>
      <c r="BB496" s="88"/>
      <c r="BC496" s="88"/>
      <c r="BD496" s="88"/>
      <c r="BE496" s="88"/>
      <c r="BF496" s="88"/>
      <c r="BG496" s="88"/>
      <c r="BH496" s="88"/>
      <c r="BI496" s="88"/>
      <c r="BJ496" s="88"/>
    </row>
    <row r="497" spans="1:62" x14ac:dyDescent="0.3">
      <c r="B497" s="67"/>
      <c r="C497" s="68"/>
      <c r="D497" s="66"/>
      <c r="E497" s="66"/>
      <c r="F497" s="54"/>
      <c r="O497" s="32"/>
      <c r="P497" s="31"/>
      <c r="Q497" s="33"/>
      <c r="R497" s="33"/>
      <c r="S497" s="31"/>
      <c r="V497" s="41"/>
      <c r="W497" s="88"/>
      <c r="X497" s="88"/>
      <c r="Y497" s="88"/>
      <c r="Z497" s="88"/>
      <c r="AA497" s="88"/>
      <c r="AB497" s="88"/>
      <c r="AC497" s="88"/>
      <c r="AD497" s="88"/>
      <c r="AE497" s="88"/>
      <c r="AF497" s="88"/>
      <c r="AG497" s="88"/>
      <c r="AH497" s="88"/>
      <c r="AI497" s="88"/>
      <c r="AJ497" s="88"/>
      <c r="AK497" s="88"/>
      <c r="AL497" s="88"/>
      <c r="AM497" s="88"/>
      <c r="AN497" s="88"/>
      <c r="AO497" s="88"/>
      <c r="AP497" s="88"/>
      <c r="AQ497" s="88"/>
      <c r="AR497" s="88"/>
      <c r="AS497" s="88"/>
      <c r="AT497" s="88"/>
      <c r="AU497" s="88"/>
      <c r="AV497" s="88"/>
      <c r="AW497" s="88"/>
      <c r="AX497" s="88"/>
      <c r="AY497" s="88"/>
      <c r="AZ497" s="88"/>
      <c r="BA497" s="88"/>
      <c r="BB497" s="88"/>
      <c r="BC497" s="88"/>
      <c r="BD497" s="88"/>
      <c r="BE497" s="88"/>
      <c r="BF497" s="88"/>
      <c r="BG497" s="88"/>
      <c r="BH497" s="88"/>
      <c r="BI497" s="88"/>
      <c r="BJ497" s="88"/>
    </row>
    <row r="498" spans="1:62" x14ac:dyDescent="0.3">
      <c r="B498" s="67"/>
      <c r="C498" s="69"/>
      <c r="D498" s="65"/>
      <c r="E498" s="66"/>
      <c r="O498" s="32"/>
      <c r="P498" s="31"/>
      <c r="Q498" s="33"/>
      <c r="R498" s="33"/>
      <c r="S498" s="31"/>
      <c r="V498" s="41"/>
      <c r="W498" s="88"/>
      <c r="X498" s="88"/>
      <c r="Y498" s="88"/>
      <c r="Z498" s="88"/>
      <c r="AA498" s="88"/>
      <c r="AB498" s="88"/>
      <c r="AC498" s="88"/>
      <c r="AD498" s="88"/>
      <c r="AE498" s="88"/>
      <c r="AF498" s="88"/>
      <c r="AG498" s="88"/>
      <c r="AH498" s="88"/>
      <c r="AI498" s="88"/>
      <c r="AJ498" s="88"/>
      <c r="AK498" s="88"/>
      <c r="AL498" s="88"/>
      <c r="AM498" s="88"/>
      <c r="AN498" s="88"/>
      <c r="AO498" s="88"/>
      <c r="AP498" s="88"/>
      <c r="AQ498" s="88"/>
      <c r="AR498" s="88"/>
      <c r="AS498" s="88"/>
      <c r="AT498" s="88"/>
      <c r="AU498" s="88"/>
      <c r="AV498" s="88"/>
      <c r="AW498" s="88"/>
      <c r="AX498" s="88"/>
      <c r="AY498" s="88"/>
      <c r="AZ498" s="88"/>
      <c r="BA498" s="88"/>
      <c r="BB498" s="88"/>
      <c r="BC498" s="88"/>
      <c r="BD498" s="88"/>
      <c r="BE498" s="88"/>
      <c r="BF498" s="88"/>
      <c r="BG498" s="88"/>
      <c r="BH498" s="88"/>
      <c r="BI498" s="88"/>
      <c r="BJ498" s="88"/>
    </row>
    <row r="499" spans="1:62" x14ac:dyDescent="0.3">
      <c r="B499" s="25"/>
      <c r="C499" s="68"/>
      <c r="D499" s="65"/>
      <c r="E499" s="66"/>
      <c r="F499" s="50"/>
      <c r="L499" s="27"/>
      <c r="N499" s="34"/>
      <c r="O499" s="32"/>
      <c r="P499" s="31"/>
      <c r="Q499" s="33"/>
      <c r="R499" s="33"/>
      <c r="S499" s="31"/>
      <c r="V499" s="41"/>
      <c r="W499" s="88"/>
      <c r="X499" s="88"/>
      <c r="Y499" s="88"/>
      <c r="Z499" s="88"/>
      <c r="AA499" s="88"/>
      <c r="AB499" s="88"/>
      <c r="AC499" s="88"/>
      <c r="AD499" s="88"/>
      <c r="AE499" s="88"/>
      <c r="AF499" s="88"/>
      <c r="AG499" s="88"/>
      <c r="AH499" s="88"/>
      <c r="AI499" s="88"/>
      <c r="AJ499" s="88"/>
      <c r="AK499" s="88"/>
      <c r="AL499" s="88"/>
      <c r="AM499" s="88"/>
      <c r="AN499" s="88"/>
      <c r="AO499" s="88"/>
      <c r="AP499" s="88"/>
      <c r="AQ499" s="88"/>
      <c r="AR499" s="88"/>
      <c r="AS499" s="88"/>
      <c r="AT499" s="88"/>
      <c r="AU499" s="88"/>
      <c r="AV499" s="88"/>
      <c r="AW499" s="88"/>
      <c r="AX499" s="88"/>
      <c r="AY499" s="88"/>
      <c r="AZ499" s="88"/>
      <c r="BA499" s="88"/>
      <c r="BB499" s="88"/>
      <c r="BC499" s="88"/>
      <c r="BD499" s="88"/>
      <c r="BE499" s="88"/>
      <c r="BF499" s="88"/>
      <c r="BG499" s="88"/>
      <c r="BH499" s="88"/>
      <c r="BI499" s="88"/>
      <c r="BJ499" s="88"/>
    </row>
    <row r="500" spans="1:62" x14ac:dyDescent="0.3">
      <c r="H500" s="25"/>
      <c r="I500" s="50"/>
      <c r="L500" s="27"/>
      <c r="N500" s="34"/>
      <c r="O500" s="32"/>
      <c r="P500" s="31"/>
      <c r="Q500" s="33"/>
      <c r="R500" s="33"/>
      <c r="S500" s="31"/>
      <c r="V500" s="41"/>
      <c r="W500" s="88"/>
      <c r="X500" s="88"/>
      <c r="Y500" s="88"/>
      <c r="Z500" s="88"/>
      <c r="AA500" s="88"/>
      <c r="AB500" s="88"/>
      <c r="AC500" s="88"/>
      <c r="AD500" s="88"/>
      <c r="AE500" s="88"/>
      <c r="AF500" s="88"/>
      <c r="AG500" s="88"/>
      <c r="AH500" s="88"/>
      <c r="AI500" s="88"/>
      <c r="AJ500" s="88"/>
      <c r="AK500" s="88"/>
      <c r="AL500" s="88"/>
      <c r="AM500" s="88"/>
      <c r="AN500" s="88"/>
      <c r="AO500" s="88"/>
      <c r="AP500" s="88"/>
      <c r="AQ500" s="88"/>
      <c r="AR500" s="88"/>
      <c r="AS500" s="88"/>
      <c r="AT500" s="88"/>
      <c r="AU500" s="88"/>
      <c r="AV500" s="88"/>
      <c r="AW500" s="88"/>
      <c r="AX500" s="88"/>
      <c r="AY500" s="88"/>
      <c r="AZ500" s="88"/>
      <c r="BA500" s="88"/>
      <c r="BB500" s="88"/>
      <c r="BC500" s="88"/>
      <c r="BD500" s="88"/>
      <c r="BE500" s="88"/>
      <c r="BF500" s="88"/>
      <c r="BG500" s="88"/>
      <c r="BH500" s="88"/>
      <c r="BI500" s="88"/>
      <c r="BJ500" s="88"/>
    </row>
    <row r="501" spans="1:62" x14ac:dyDescent="0.3">
      <c r="B501" s="72"/>
      <c r="C501" s="65"/>
      <c r="D501" s="66"/>
      <c r="H501" s="25"/>
      <c r="I501" s="50"/>
      <c r="J501" s="50"/>
      <c r="L501" s="27"/>
      <c r="N501" s="34"/>
      <c r="O501" s="32"/>
      <c r="P501" s="31"/>
      <c r="Q501" s="33"/>
      <c r="R501" s="33"/>
      <c r="S501" s="31"/>
      <c r="V501" s="41"/>
      <c r="W501" s="88"/>
      <c r="X501" s="88"/>
      <c r="Y501" s="88"/>
      <c r="Z501" s="88"/>
      <c r="AA501" s="88"/>
      <c r="AB501" s="88"/>
      <c r="AC501" s="88"/>
      <c r="AD501" s="88"/>
      <c r="AE501" s="88"/>
      <c r="AF501" s="88"/>
      <c r="AG501" s="88"/>
      <c r="AH501" s="88"/>
      <c r="AI501" s="88"/>
      <c r="AJ501" s="88"/>
      <c r="AK501" s="88"/>
      <c r="AL501" s="88"/>
      <c r="AM501" s="88"/>
      <c r="AN501" s="88"/>
      <c r="AO501" s="88"/>
      <c r="AP501" s="88"/>
      <c r="AQ501" s="88"/>
      <c r="AR501" s="88"/>
      <c r="AS501" s="88"/>
      <c r="AT501" s="88"/>
      <c r="AU501" s="88"/>
      <c r="AV501" s="88"/>
      <c r="AW501" s="88"/>
      <c r="AX501" s="88"/>
      <c r="AY501" s="88"/>
      <c r="AZ501" s="88"/>
      <c r="BA501" s="88"/>
      <c r="BB501" s="88"/>
      <c r="BC501" s="88"/>
      <c r="BD501" s="88"/>
      <c r="BE501" s="88"/>
      <c r="BF501" s="88"/>
      <c r="BG501" s="88"/>
      <c r="BH501" s="88"/>
      <c r="BI501" s="88"/>
      <c r="BJ501" s="88"/>
    </row>
    <row r="502" spans="1:62" x14ac:dyDescent="0.3">
      <c r="C502" s="66"/>
      <c r="D502" s="66"/>
      <c r="F502" s="54"/>
      <c r="H502" s="25"/>
      <c r="I502" s="50"/>
      <c r="L502" s="27"/>
      <c r="N502" s="34"/>
      <c r="O502" s="32"/>
      <c r="P502" s="31"/>
      <c r="Q502" s="33"/>
      <c r="R502" s="33"/>
      <c r="S502" s="31"/>
      <c r="V502" s="41"/>
      <c r="W502" s="88"/>
      <c r="X502" s="88"/>
      <c r="Y502" s="88"/>
      <c r="Z502" s="88"/>
      <c r="AA502" s="88"/>
      <c r="AB502" s="88"/>
      <c r="AC502" s="88"/>
      <c r="AD502" s="88"/>
      <c r="AE502" s="88"/>
      <c r="AF502" s="88"/>
      <c r="AG502" s="88"/>
      <c r="AH502" s="88"/>
      <c r="AI502" s="88"/>
      <c r="AJ502" s="88"/>
      <c r="AK502" s="88"/>
      <c r="AL502" s="88"/>
      <c r="AM502" s="88"/>
      <c r="AN502" s="88"/>
      <c r="AO502" s="88"/>
      <c r="AP502" s="88"/>
      <c r="AQ502" s="88"/>
      <c r="AR502" s="88"/>
      <c r="AS502" s="88"/>
      <c r="AT502" s="88"/>
      <c r="AU502" s="88"/>
      <c r="AV502" s="88"/>
      <c r="AW502" s="88"/>
      <c r="AX502" s="88"/>
      <c r="AY502" s="88"/>
      <c r="AZ502" s="88"/>
      <c r="BA502" s="88"/>
      <c r="BB502" s="88"/>
      <c r="BC502" s="88"/>
      <c r="BD502" s="88"/>
      <c r="BE502" s="88"/>
      <c r="BF502" s="88"/>
      <c r="BG502" s="88"/>
      <c r="BH502" s="88"/>
      <c r="BI502" s="88"/>
      <c r="BJ502" s="88"/>
    </row>
    <row r="503" spans="1:62" x14ac:dyDescent="0.3">
      <c r="C503" s="73"/>
      <c r="F503" s="54"/>
      <c r="L503" s="27"/>
      <c r="N503" s="34"/>
      <c r="O503" s="32"/>
      <c r="P503" s="31"/>
      <c r="Q503" s="33"/>
      <c r="R503" s="33"/>
      <c r="S503" s="31"/>
      <c r="V503" s="41"/>
      <c r="W503" s="88"/>
      <c r="X503" s="88"/>
      <c r="Y503" s="88"/>
      <c r="Z503" s="88"/>
      <c r="AA503" s="88"/>
      <c r="AB503" s="88"/>
      <c r="AC503" s="88"/>
      <c r="AD503" s="88"/>
      <c r="AE503" s="88"/>
      <c r="AF503" s="88"/>
      <c r="AG503" s="88"/>
      <c r="AH503" s="88"/>
      <c r="AI503" s="88"/>
      <c r="AJ503" s="88"/>
      <c r="AK503" s="88"/>
      <c r="AL503" s="88"/>
      <c r="AM503" s="88"/>
      <c r="AN503" s="88"/>
      <c r="AO503" s="88"/>
      <c r="AP503" s="88"/>
      <c r="AQ503" s="88"/>
      <c r="AR503" s="88"/>
      <c r="AS503" s="88"/>
      <c r="AT503" s="88"/>
      <c r="AU503" s="88"/>
      <c r="AV503" s="88"/>
      <c r="AW503" s="88"/>
      <c r="AX503" s="88"/>
      <c r="AY503" s="88"/>
      <c r="AZ503" s="88"/>
      <c r="BA503" s="88"/>
      <c r="BB503" s="88"/>
      <c r="BC503" s="88"/>
      <c r="BD503" s="88"/>
      <c r="BE503" s="88"/>
      <c r="BF503" s="88"/>
      <c r="BG503" s="88"/>
      <c r="BH503" s="88"/>
      <c r="BI503" s="88"/>
      <c r="BJ503" s="88"/>
    </row>
    <row r="504" spans="1:62" x14ac:dyDescent="0.3">
      <c r="C504" s="87">
        <f>COS(RADIANS(E410))*C288</f>
        <v>274.82045155558677</v>
      </c>
      <c r="D504" s="71" t="s">
        <v>11</v>
      </c>
      <c r="F504" s="54"/>
      <c r="G504" s="38"/>
      <c r="H504" s="41"/>
      <c r="I504" s="41"/>
      <c r="J504" s="41"/>
      <c r="L504" s="27"/>
      <c r="N504" s="34"/>
      <c r="O504" s="32"/>
      <c r="P504" s="31"/>
      <c r="Q504" s="33"/>
      <c r="R504" s="33"/>
      <c r="S504" s="31"/>
      <c r="V504" s="41"/>
      <c r="W504" s="88"/>
      <c r="X504" s="88"/>
      <c r="Y504" s="88"/>
      <c r="Z504" s="88"/>
      <c r="AA504" s="88"/>
      <c r="AB504" s="88"/>
      <c r="AC504" s="88"/>
      <c r="AD504" s="88"/>
      <c r="AE504" s="88"/>
      <c r="AF504" s="88"/>
      <c r="AG504" s="88"/>
      <c r="AH504" s="88"/>
      <c r="AI504" s="88"/>
      <c r="AJ504" s="88"/>
      <c r="AK504" s="88"/>
      <c r="AL504" s="88"/>
      <c r="AM504" s="88"/>
      <c r="AN504" s="88"/>
      <c r="AO504" s="88"/>
      <c r="AP504" s="88"/>
      <c r="AQ504" s="88"/>
      <c r="AR504" s="88"/>
      <c r="AS504" s="88"/>
      <c r="AT504" s="88"/>
      <c r="AU504" s="88"/>
      <c r="AV504" s="88"/>
      <c r="AW504" s="88"/>
      <c r="AX504" s="88"/>
      <c r="AY504" s="88"/>
      <c r="AZ504" s="88"/>
      <c r="BA504" s="88"/>
      <c r="BB504" s="88"/>
      <c r="BC504" s="88"/>
      <c r="BD504" s="88"/>
      <c r="BE504" s="88"/>
      <c r="BF504" s="88"/>
      <c r="BG504" s="88"/>
      <c r="BH504" s="88"/>
      <c r="BI504" s="88"/>
      <c r="BJ504" s="88"/>
    </row>
    <row r="505" spans="1:62" x14ac:dyDescent="0.3">
      <c r="B505" s="132"/>
      <c r="F505" s="25"/>
      <c r="G505" s="43"/>
      <c r="H505" s="39"/>
      <c r="I505" s="40"/>
      <c r="J505" s="41"/>
      <c r="L505" s="27"/>
      <c r="N505" s="34"/>
      <c r="O505" s="32"/>
      <c r="P505" s="31"/>
      <c r="Q505" s="33"/>
      <c r="R505" s="33"/>
      <c r="S505" s="31"/>
      <c r="V505" s="41"/>
      <c r="W505" s="88"/>
      <c r="X505" s="88"/>
      <c r="Y505" s="88"/>
      <c r="Z505" s="88"/>
      <c r="AA505" s="88"/>
      <c r="AB505" s="88"/>
      <c r="AC505" s="88"/>
      <c r="AD505" s="88"/>
      <c r="AE505" s="88"/>
      <c r="AF505" s="88"/>
      <c r="AG505" s="88"/>
      <c r="AH505" s="88"/>
      <c r="AI505" s="88"/>
      <c r="AJ505" s="88"/>
      <c r="AK505" s="88"/>
      <c r="AL505" s="88"/>
      <c r="AM505" s="88"/>
      <c r="AN505" s="88"/>
      <c r="AO505" s="88"/>
      <c r="AP505" s="88"/>
      <c r="AQ505" s="88"/>
      <c r="AR505" s="88"/>
      <c r="AS505" s="88"/>
      <c r="AT505" s="88"/>
      <c r="AU505" s="88"/>
      <c r="AV505" s="88"/>
      <c r="AW505" s="88"/>
      <c r="AX505" s="88"/>
      <c r="AY505" s="88"/>
      <c r="AZ505" s="88"/>
      <c r="BA505" s="88"/>
      <c r="BB505" s="88"/>
      <c r="BC505" s="88"/>
      <c r="BD505" s="88"/>
      <c r="BE505" s="88"/>
      <c r="BF505" s="88"/>
      <c r="BG505" s="88"/>
      <c r="BH505" s="88"/>
      <c r="BI505" s="88"/>
      <c r="BJ505" s="88"/>
    </row>
    <row r="506" spans="1:62" ht="15" x14ac:dyDescent="0.35">
      <c r="B506" s="30"/>
      <c r="C506" s="30"/>
      <c r="D506" s="25" t="s">
        <v>139</v>
      </c>
      <c r="E506" s="88">
        <f>H292*C272</f>
        <v>18113.334576829595</v>
      </c>
      <c r="F506" s="30" t="s">
        <v>38</v>
      </c>
      <c r="G506" s="43"/>
      <c r="H506" s="41"/>
      <c r="I506" s="41"/>
      <c r="J506" s="41"/>
      <c r="L506" s="27"/>
      <c r="N506" s="34"/>
      <c r="O506" s="32"/>
      <c r="P506" s="31"/>
      <c r="Q506" s="33"/>
      <c r="R506" s="33"/>
      <c r="S506" s="31"/>
      <c r="V506" s="41"/>
      <c r="W506" s="88"/>
      <c r="X506" s="88"/>
      <c r="Y506" s="88"/>
      <c r="Z506" s="88"/>
      <c r="AA506" s="88"/>
      <c r="AB506" s="88"/>
      <c r="AC506" s="88"/>
      <c r="AD506" s="88"/>
      <c r="AE506" s="88"/>
      <c r="AF506" s="88"/>
      <c r="AG506" s="88"/>
      <c r="AH506" s="88"/>
      <c r="AI506" s="88"/>
      <c r="AJ506" s="88"/>
      <c r="AK506" s="88"/>
      <c r="AL506" s="88"/>
      <c r="AM506" s="88"/>
      <c r="AN506" s="88"/>
      <c r="AO506" s="88"/>
      <c r="AP506" s="88"/>
      <c r="AQ506" s="88"/>
      <c r="AR506" s="88"/>
      <c r="AS506" s="88"/>
      <c r="AT506" s="88"/>
      <c r="AU506" s="88"/>
      <c r="AV506" s="88"/>
      <c r="AW506" s="88"/>
      <c r="AX506" s="88"/>
      <c r="AY506" s="88"/>
      <c r="AZ506" s="88"/>
      <c r="BA506" s="88"/>
      <c r="BB506" s="88"/>
      <c r="BC506" s="88"/>
      <c r="BD506" s="88"/>
      <c r="BE506" s="88"/>
      <c r="BF506" s="88"/>
      <c r="BG506" s="88"/>
      <c r="BH506" s="88"/>
      <c r="BI506" s="88"/>
      <c r="BJ506" s="88"/>
    </row>
    <row r="507" spans="1:62" ht="15" x14ac:dyDescent="0.35">
      <c r="B507" s="30"/>
      <c r="C507" s="30"/>
      <c r="D507" s="25" t="s">
        <v>143</v>
      </c>
      <c r="E507" s="88">
        <f>E506/2</f>
        <v>9056.6672884147974</v>
      </c>
      <c r="F507" s="30" t="s">
        <v>38</v>
      </c>
      <c r="G507" s="45"/>
      <c r="H507" s="60"/>
      <c r="I507" s="30"/>
      <c r="J507" s="30"/>
      <c r="L507" s="27"/>
      <c r="N507" s="34"/>
      <c r="O507" s="32"/>
      <c r="P507" s="31"/>
      <c r="Q507" s="33"/>
      <c r="R507" s="33"/>
      <c r="S507" s="31"/>
      <c r="V507" s="41"/>
      <c r="W507" s="88"/>
      <c r="X507" s="88"/>
      <c r="Y507" s="88"/>
      <c r="Z507" s="88"/>
      <c r="AA507" s="88"/>
      <c r="AB507" s="88"/>
      <c r="AC507" s="88"/>
      <c r="AD507" s="88"/>
      <c r="AE507" s="88"/>
      <c r="AF507" s="88"/>
      <c r="AG507" s="88"/>
      <c r="AH507" s="88"/>
      <c r="AI507" s="88"/>
      <c r="AJ507" s="88"/>
      <c r="AK507" s="88"/>
      <c r="AL507" s="88"/>
      <c r="AM507" s="88"/>
      <c r="AN507" s="88"/>
      <c r="AO507" s="88"/>
      <c r="AP507" s="88"/>
      <c r="AQ507" s="88"/>
      <c r="AR507" s="88"/>
      <c r="AS507" s="88"/>
      <c r="AT507" s="88"/>
      <c r="AU507" s="88"/>
      <c r="AV507" s="88"/>
      <c r="AW507" s="88"/>
      <c r="AX507" s="88"/>
      <c r="AY507" s="88"/>
      <c r="AZ507" s="88"/>
      <c r="BA507" s="88"/>
      <c r="BB507" s="88"/>
      <c r="BC507" s="88"/>
      <c r="BD507" s="88"/>
      <c r="BE507" s="88"/>
      <c r="BF507" s="88"/>
      <c r="BG507" s="88"/>
      <c r="BH507" s="88"/>
      <c r="BI507" s="88"/>
      <c r="BJ507" s="88"/>
    </row>
    <row r="508" spans="1:62" ht="15" x14ac:dyDescent="0.35">
      <c r="B508" s="72"/>
      <c r="C508" s="66"/>
      <c r="D508" s="25" t="s">
        <v>141</v>
      </c>
      <c r="E508" s="82">
        <f>G165</f>
        <v>13933</v>
      </c>
      <c r="F508" s="71" t="s">
        <v>75</v>
      </c>
      <c r="G508" s="45"/>
      <c r="H508" s="61"/>
      <c r="I508" s="30"/>
      <c r="J508" s="30"/>
      <c r="L508" s="27"/>
      <c r="N508" s="34"/>
      <c r="O508" s="32"/>
      <c r="P508" s="31"/>
      <c r="Q508" s="33"/>
      <c r="R508" s="33"/>
      <c r="S508" s="31"/>
      <c r="V508" s="41"/>
      <c r="W508" s="88"/>
      <c r="X508" s="88"/>
      <c r="Y508" s="88"/>
      <c r="Z508" s="88"/>
      <c r="AA508" s="88"/>
      <c r="AB508" s="88"/>
      <c r="AC508" s="88"/>
      <c r="AD508" s="88"/>
      <c r="AE508" s="88"/>
      <c r="AF508" s="88"/>
      <c r="AG508" s="88"/>
      <c r="AH508" s="88"/>
      <c r="AI508" s="88"/>
      <c r="AJ508" s="88"/>
      <c r="AK508" s="88"/>
      <c r="AL508" s="88"/>
      <c r="AM508" s="88"/>
      <c r="AN508" s="88"/>
      <c r="AO508" s="88"/>
      <c r="AP508" s="88"/>
      <c r="AQ508" s="88"/>
      <c r="AR508" s="88"/>
      <c r="AS508" s="88"/>
      <c r="AT508" s="88"/>
      <c r="AU508" s="88"/>
      <c r="AV508" s="88"/>
      <c r="AW508" s="88"/>
      <c r="AX508" s="88"/>
      <c r="AY508" s="88"/>
      <c r="AZ508" s="88"/>
      <c r="BA508" s="88"/>
      <c r="BB508" s="88"/>
      <c r="BC508" s="88"/>
      <c r="BD508" s="88"/>
      <c r="BE508" s="88"/>
      <c r="BF508" s="88"/>
      <c r="BG508" s="88"/>
      <c r="BH508" s="88"/>
      <c r="BI508" s="88"/>
      <c r="BJ508" s="88"/>
    </row>
    <row r="509" spans="1:62" x14ac:dyDescent="0.3">
      <c r="D509" s="72" t="s">
        <v>76</v>
      </c>
      <c r="E509" s="68">
        <f>(C504-C492)/12</f>
        <v>4.8206339509947584</v>
      </c>
      <c r="F509" s="27" t="s">
        <v>77</v>
      </c>
      <c r="G509" s="124" t="str">
        <f>"= "&amp;[1]!xln(E509)</f>
        <v>= (275 - 217) / 12</v>
      </c>
      <c r="H509" s="46"/>
      <c r="I509" s="30"/>
      <c r="J509" s="30"/>
      <c r="L509" s="27"/>
      <c r="N509" s="34"/>
      <c r="O509" s="32"/>
      <c r="P509" s="31"/>
      <c r="Q509" s="33"/>
      <c r="R509" s="33"/>
      <c r="S509" s="31"/>
      <c r="V509" s="41"/>
      <c r="W509" s="88"/>
      <c r="X509" s="88"/>
      <c r="Y509" s="88"/>
      <c r="Z509" s="88"/>
      <c r="AA509" s="88"/>
      <c r="AB509" s="88"/>
      <c r="AC509" s="88"/>
      <c r="AD509" s="88"/>
      <c r="AE509" s="88"/>
      <c r="AF509" s="88"/>
      <c r="AG509" s="88"/>
      <c r="AH509" s="88"/>
      <c r="AI509" s="88"/>
      <c r="AJ509" s="88"/>
      <c r="AK509" s="88"/>
      <c r="AL509" s="88"/>
      <c r="AM509" s="88"/>
      <c r="AN509" s="88"/>
      <c r="AO509" s="88"/>
      <c r="AP509" s="88"/>
      <c r="AQ509" s="88"/>
      <c r="AR509" s="88"/>
      <c r="AS509" s="88"/>
      <c r="AT509" s="88"/>
      <c r="AU509" s="88"/>
      <c r="AV509" s="88"/>
      <c r="AW509" s="88"/>
      <c r="AX509" s="88"/>
      <c r="AY509" s="88"/>
      <c r="AZ509" s="88"/>
      <c r="BA509" s="88"/>
      <c r="BB509" s="88"/>
      <c r="BC509" s="88"/>
      <c r="BD509" s="88"/>
      <c r="BE509" s="88"/>
      <c r="BF509" s="88"/>
      <c r="BG509" s="88"/>
      <c r="BH509" s="88"/>
      <c r="BI509" s="88"/>
      <c r="BJ509" s="88"/>
    </row>
    <row r="510" spans="1:62" x14ac:dyDescent="0.3">
      <c r="D510" s="67" t="s">
        <v>86</v>
      </c>
      <c r="E510" s="73">
        <f>E506*E509</f>
        <v>87317.755626792015</v>
      </c>
      <c r="F510" s="27" t="s">
        <v>79</v>
      </c>
      <c r="G510" s="124" t="str">
        <f>"= "&amp;[1]!xln(E510)</f>
        <v>= 18113 × 4.82</v>
      </c>
      <c r="H510" s="133"/>
      <c r="I510" s="30"/>
      <c r="J510" s="30"/>
      <c r="L510" s="27"/>
      <c r="N510" s="34"/>
      <c r="O510" s="32"/>
      <c r="P510" s="31"/>
      <c r="Q510" s="33"/>
      <c r="R510" s="33"/>
      <c r="S510" s="31"/>
      <c r="V510" s="41"/>
      <c r="W510" s="88"/>
      <c r="X510" s="88"/>
      <c r="Y510" s="88"/>
      <c r="Z510" s="88"/>
      <c r="AA510" s="88"/>
      <c r="AB510" s="88"/>
      <c r="AC510" s="88"/>
      <c r="AD510" s="88"/>
      <c r="AE510" s="88"/>
      <c r="AF510" s="88"/>
      <c r="AG510" s="88"/>
      <c r="AH510" s="88"/>
      <c r="AI510" s="88"/>
      <c r="AJ510" s="88"/>
      <c r="AK510" s="88"/>
      <c r="AL510" s="88"/>
      <c r="AM510" s="88"/>
      <c r="AN510" s="88"/>
      <c r="AO510" s="88"/>
      <c r="AP510" s="88"/>
      <c r="AQ510" s="88"/>
      <c r="AR510" s="88"/>
      <c r="AS510" s="88"/>
      <c r="AT510" s="88"/>
      <c r="AU510" s="88"/>
      <c r="AV510" s="88"/>
      <c r="AW510" s="88"/>
      <c r="AX510" s="88"/>
      <c r="AY510" s="88"/>
      <c r="AZ510" s="88"/>
      <c r="BA510" s="88"/>
      <c r="BB510" s="88"/>
      <c r="BC510" s="88"/>
      <c r="BD510" s="88"/>
      <c r="BE510" s="88"/>
      <c r="BF510" s="88"/>
      <c r="BG510" s="88"/>
      <c r="BH510" s="88"/>
      <c r="BI510" s="88"/>
      <c r="BJ510" s="88"/>
    </row>
    <row r="511" spans="1:62" x14ac:dyDescent="0.3">
      <c r="A511" s="45"/>
      <c r="B511" s="30"/>
      <c r="C511" s="30"/>
      <c r="D511" s="67" t="s">
        <v>87</v>
      </c>
      <c r="E511" s="68">
        <f>E510/E508</f>
        <v>6.26697449413565</v>
      </c>
      <c r="F511" s="27" t="s">
        <v>82</v>
      </c>
      <c r="G511" s="124" t="str">
        <f>"= "&amp;[1]!xln(E511)</f>
        <v>= 87318 / 13933</v>
      </c>
      <c r="H511" s="64"/>
      <c r="L511" s="27"/>
      <c r="N511" s="34"/>
      <c r="O511" s="32"/>
      <c r="P511" s="31"/>
      <c r="Q511" s="33"/>
      <c r="R511" s="33"/>
      <c r="S511" s="31"/>
      <c r="V511" s="41"/>
      <c r="W511" s="88"/>
      <c r="X511" s="88"/>
      <c r="Y511" s="88"/>
      <c r="Z511" s="88"/>
      <c r="AA511" s="88"/>
      <c r="AB511" s="88"/>
      <c r="AC511" s="88"/>
      <c r="AD511" s="88"/>
      <c r="AE511" s="88"/>
      <c r="AF511" s="88"/>
      <c r="AG511" s="88"/>
      <c r="AH511" s="88"/>
      <c r="AI511" s="88"/>
      <c r="AJ511" s="88"/>
      <c r="AK511" s="88"/>
      <c r="AL511" s="88"/>
      <c r="AM511" s="88"/>
      <c r="AN511" s="88"/>
      <c r="AO511" s="88"/>
      <c r="AP511" s="88"/>
      <c r="AQ511" s="88"/>
      <c r="AR511" s="88"/>
      <c r="AS511" s="88"/>
      <c r="AT511" s="88"/>
      <c r="AU511" s="88"/>
      <c r="AV511" s="88"/>
      <c r="AW511" s="88"/>
      <c r="AX511" s="88"/>
      <c r="AY511" s="88"/>
      <c r="AZ511" s="88"/>
      <c r="BA511" s="88"/>
      <c r="BB511" s="88"/>
      <c r="BC511" s="88"/>
      <c r="BD511" s="88"/>
      <c r="BE511" s="88"/>
      <c r="BF511" s="88"/>
      <c r="BG511" s="88"/>
      <c r="BH511" s="88"/>
      <c r="BI511" s="88"/>
      <c r="BJ511" s="88"/>
    </row>
    <row r="512" spans="1:62" x14ac:dyDescent="0.3">
      <c r="A512" s="45"/>
      <c r="B512" s="30"/>
      <c r="C512" s="30"/>
      <c r="D512" s="67"/>
      <c r="E512" s="68"/>
      <c r="G512" s="45"/>
      <c r="H512" s="64"/>
      <c r="L512" s="27"/>
      <c r="N512" s="34"/>
      <c r="O512" s="32"/>
      <c r="P512" s="31"/>
      <c r="Q512" s="33"/>
      <c r="R512" s="33"/>
      <c r="S512" s="31"/>
      <c r="V512" s="41"/>
      <c r="W512" s="88"/>
      <c r="X512" s="88"/>
      <c r="Y512" s="88"/>
      <c r="Z512" s="88"/>
      <c r="AA512" s="88"/>
      <c r="AB512" s="88"/>
      <c r="AC512" s="88"/>
      <c r="AD512" s="88"/>
      <c r="AE512" s="88"/>
      <c r="AF512" s="88"/>
      <c r="AG512" s="88"/>
      <c r="AH512" s="88"/>
      <c r="AI512" s="88"/>
      <c r="AJ512" s="88"/>
      <c r="AK512" s="88"/>
      <c r="AL512" s="88"/>
      <c r="AM512" s="88"/>
      <c r="AN512" s="88"/>
      <c r="AO512" s="88"/>
      <c r="AP512" s="88"/>
      <c r="AQ512" s="88"/>
      <c r="AR512" s="88"/>
      <c r="AS512" s="88"/>
      <c r="AT512" s="88"/>
      <c r="AU512" s="88"/>
      <c r="AV512" s="88"/>
      <c r="AW512" s="88"/>
      <c r="AX512" s="88"/>
      <c r="AY512" s="88"/>
      <c r="AZ512" s="88"/>
      <c r="BA512" s="88"/>
      <c r="BB512" s="88"/>
      <c r="BC512" s="88"/>
      <c r="BD512" s="88"/>
      <c r="BE512" s="88"/>
      <c r="BF512" s="88"/>
      <c r="BG512" s="88"/>
      <c r="BH512" s="88"/>
      <c r="BI512" s="88"/>
      <c r="BJ512" s="88"/>
    </row>
    <row r="513" spans="1:62" x14ac:dyDescent="0.3">
      <c r="A513" s="45"/>
      <c r="B513" s="30"/>
      <c r="C513" s="30"/>
      <c r="D513" s="67"/>
      <c r="E513" s="68"/>
      <c r="G513" s="45"/>
      <c r="H513" s="64"/>
      <c r="L513" s="27"/>
      <c r="N513" s="34"/>
      <c r="O513" s="32"/>
      <c r="P513" s="31"/>
      <c r="Q513" s="33"/>
      <c r="R513" s="33"/>
      <c r="S513" s="31"/>
      <c r="V513" s="41"/>
      <c r="W513" s="88"/>
      <c r="X513" s="88"/>
      <c r="Y513" s="88"/>
      <c r="Z513" s="88"/>
      <c r="AA513" s="88"/>
      <c r="AB513" s="88"/>
      <c r="AC513" s="88"/>
      <c r="AD513" s="88"/>
      <c r="AE513" s="88"/>
      <c r="AF513" s="88"/>
      <c r="AG513" s="88"/>
      <c r="AH513" s="88"/>
      <c r="AI513" s="88"/>
      <c r="AJ513" s="88"/>
      <c r="AK513" s="88"/>
      <c r="AL513" s="88"/>
      <c r="AM513" s="88"/>
      <c r="AN513" s="88"/>
      <c r="AO513" s="88"/>
      <c r="AP513" s="88"/>
      <c r="AQ513" s="88"/>
      <c r="AR513" s="88"/>
      <c r="AS513" s="88"/>
      <c r="AT513" s="88"/>
      <c r="AU513" s="88"/>
      <c r="AV513" s="88"/>
      <c r="AW513" s="88"/>
      <c r="AX513" s="88"/>
      <c r="AY513" s="88"/>
      <c r="AZ513" s="88"/>
      <c r="BA513" s="88"/>
      <c r="BB513" s="88"/>
      <c r="BC513" s="88"/>
      <c r="BD513" s="88"/>
      <c r="BE513" s="88"/>
      <c r="BF513" s="88"/>
      <c r="BG513" s="88"/>
      <c r="BH513" s="88"/>
      <c r="BI513" s="88"/>
      <c r="BJ513" s="88"/>
    </row>
    <row r="514" spans="1:62" x14ac:dyDescent="0.3">
      <c r="A514" s="190"/>
      <c r="B514" s="193"/>
      <c r="C514" s="195"/>
      <c r="D514" s="190"/>
      <c r="E514" s="190"/>
      <c r="F514" s="190"/>
      <c r="G514" s="195"/>
      <c r="H514" s="190"/>
      <c r="I514" s="190"/>
      <c r="J514" s="190"/>
      <c r="K514" s="190"/>
      <c r="L514" s="27"/>
      <c r="N514" s="34"/>
      <c r="O514" s="32"/>
      <c r="P514" s="31"/>
      <c r="Q514" s="33"/>
      <c r="R514" s="33"/>
      <c r="S514" s="31"/>
      <c r="V514" s="41"/>
      <c r="W514" s="88"/>
      <c r="X514" s="88"/>
      <c r="Y514" s="88"/>
      <c r="Z514" s="88"/>
      <c r="AA514" s="88"/>
      <c r="AB514" s="88"/>
      <c r="AC514" s="88"/>
      <c r="AD514" s="88"/>
      <c r="AE514" s="88"/>
      <c r="AF514" s="88"/>
      <c r="AG514" s="88"/>
      <c r="AH514" s="88"/>
      <c r="AI514" s="88"/>
      <c r="AJ514" s="88"/>
      <c r="AK514" s="88"/>
      <c r="AL514" s="88"/>
      <c r="AM514" s="88"/>
      <c r="AN514" s="88"/>
      <c r="AO514" s="88"/>
      <c r="AP514" s="88"/>
      <c r="AQ514" s="88"/>
      <c r="AR514" s="88"/>
      <c r="AS514" s="88"/>
      <c r="AT514" s="88"/>
      <c r="AU514" s="88"/>
      <c r="AV514" s="88"/>
      <c r="AW514" s="88"/>
      <c r="AX514" s="88"/>
      <c r="AY514" s="88"/>
      <c r="AZ514" s="88"/>
      <c r="BA514" s="88"/>
      <c r="BB514" s="88"/>
      <c r="BC514" s="88"/>
      <c r="BD514" s="88"/>
      <c r="BE514" s="88"/>
      <c r="BF514" s="88"/>
      <c r="BG514" s="88"/>
      <c r="BH514" s="88"/>
      <c r="BI514" s="88"/>
      <c r="BJ514" s="88"/>
    </row>
    <row r="515" spans="1:62" x14ac:dyDescent="0.3">
      <c r="A515" s="190"/>
      <c r="B515" s="196"/>
      <c r="C515" s="195"/>
      <c r="D515" s="197"/>
      <c r="E515" s="197"/>
      <c r="F515" s="198" t="s">
        <v>159</v>
      </c>
      <c r="G515" s="195"/>
      <c r="H515" s="197"/>
      <c r="I515" s="197"/>
      <c r="J515" s="197"/>
      <c r="K515" s="190"/>
      <c r="L515" s="27"/>
      <c r="N515" s="34"/>
      <c r="O515" s="32"/>
      <c r="P515" s="31"/>
      <c r="Q515" s="33"/>
      <c r="R515" s="33"/>
      <c r="S515" s="31"/>
      <c r="V515" s="41"/>
      <c r="W515" s="88"/>
      <c r="X515" s="88"/>
      <c r="Y515" s="88"/>
      <c r="Z515" s="88"/>
      <c r="AA515" s="88"/>
      <c r="AB515" s="88"/>
      <c r="AC515" s="88"/>
      <c r="AD515" s="88"/>
      <c r="AE515" s="88"/>
      <c r="AF515" s="88"/>
      <c r="AG515" s="88"/>
      <c r="AH515" s="88"/>
      <c r="AI515" s="88"/>
      <c r="AJ515" s="88"/>
      <c r="AK515" s="88"/>
      <c r="AL515" s="88"/>
      <c r="AM515" s="88"/>
      <c r="AN515" s="88"/>
      <c r="AO515" s="88"/>
      <c r="AP515" s="88"/>
      <c r="AQ515" s="88"/>
      <c r="AR515" s="88"/>
      <c r="AS515" s="88"/>
      <c r="AT515" s="88"/>
      <c r="AU515" s="88"/>
      <c r="AV515" s="88"/>
      <c r="AW515" s="88"/>
      <c r="AX515" s="88"/>
      <c r="AY515" s="88"/>
      <c r="AZ515" s="88"/>
      <c r="BA515" s="88"/>
      <c r="BB515" s="88"/>
      <c r="BC515" s="88"/>
      <c r="BD515" s="88"/>
      <c r="BE515" s="88"/>
      <c r="BF515" s="88"/>
      <c r="BG515" s="88"/>
      <c r="BH515" s="88"/>
      <c r="BI515" s="88"/>
      <c r="BJ515" s="88"/>
    </row>
    <row r="516" spans="1:62" x14ac:dyDescent="0.3">
      <c r="A516" s="190"/>
      <c r="B516" s="197"/>
      <c r="C516" s="197"/>
      <c r="D516" s="197"/>
      <c r="E516" s="197"/>
      <c r="F516" s="199" t="s">
        <v>160</v>
      </c>
      <c r="G516" s="197"/>
      <c r="H516" s="197"/>
      <c r="I516" s="197"/>
      <c r="J516" s="197"/>
      <c r="K516" s="190"/>
      <c r="L516" s="27"/>
      <c r="N516" s="34"/>
      <c r="O516" s="32"/>
      <c r="P516" s="31"/>
      <c r="Q516" s="33"/>
      <c r="R516" s="33"/>
      <c r="S516" s="31"/>
      <c r="V516" s="41"/>
      <c r="W516" s="88"/>
      <c r="X516" s="88"/>
      <c r="Y516" s="88"/>
      <c r="Z516" s="88"/>
      <c r="AA516" s="88"/>
      <c r="AB516" s="88"/>
      <c r="AC516" s="88"/>
      <c r="AD516" s="88"/>
      <c r="AE516" s="88"/>
      <c r="AF516" s="88"/>
      <c r="AG516" s="88"/>
      <c r="AH516" s="88"/>
      <c r="AI516" s="88"/>
      <c r="AJ516" s="88"/>
      <c r="AK516" s="88"/>
      <c r="AL516" s="88"/>
      <c r="AM516" s="88"/>
      <c r="AN516" s="88"/>
      <c r="AO516" s="88"/>
      <c r="AP516" s="88"/>
      <c r="AQ516" s="88"/>
      <c r="AR516" s="88"/>
      <c r="AS516" s="88"/>
      <c r="AT516" s="88"/>
      <c r="AU516" s="88"/>
      <c r="AV516" s="88"/>
      <c r="AW516" s="88"/>
      <c r="AX516" s="88"/>
      <c r="AY516" s="88"/>
      <c r="AZ516" s="88"/>
      <c r="BA516" s="88"/>
      <c r="BB516" s="88"/>
      <c r="BC516" s="88"/>
      <c r="BD516" s="88"/>
      <c r="BE516" s="88"/>
      <c r="BF516" s="88"/>
      <c r="BG516" s="88"/>
      <c r="BH516" s="88"/>
      <c r="BI516" s="88"/>
      <c r="BJ516" s="88"/>
    </row>
    <row r="517" spans="1:62" x14ac:dyDescent="0.3">
      <c r="A517" s="14"/>
      <c r="B517" s="5"/>
      <c r="C517" s="5"/>
      <c r="D517" s="5"/>
      <c r="E517" s="7" t="s">
        <v>1</v>
      </c>
      <c r="F517" s="8" t="str">
        <f>$C$1</f>
        <v>R. Abbott</v>
      </c>
      <c r="G517" s="5"/>
      <c r="H517" s="15"/>
      <c r="I517" s="7" t="s">
        <v>8</v>
      </c>
      <c r="J517" s="16" t="str">
        <f>$G$2</f>
        <v>AA-SM-503</v>
      </c>
      <c r="K517" s="17"/>
      <c r="L517" s="18"/>
      <c r="M517" s="9"/>
      <c r="N517" s="9"/>
      <c r="O517" s="9"/>
      <c r="P517" s="9"/>
      <c r="Q517" s="33"/>
      <c r="R517" s="33"/>
      <c r="S517" s="31"/>
      <c r="V517" s="41"/>
      <c r="W517" s="88"/>
      <c r="X517" s="88"/>
      <c r="Y517" s="88"/>
      <c r="Z517" s="88"/>
      <c r="AA517" s="88"/>
      <c r="AB517" s="88"/>
      <c r="AC517" s="88"/>
      <c r="AD517" s="88"/>
      <c r="AE517" s="88"/>
      <c r="AF517" s="88"/>
      <c r="AG517" s="88"/>
      <c r="AH517" s="88"/>
      <c r="AI517" s="88"/>
      <c r="AJ517" s="88"/>
      <c r="AK517" s="88"/>
      <c r="AL517" s="88"/>
      <c r="AM517" s="88"/>
      <c r="AN517" s="88"/>
      <c r="AO517" s="88"/>
      <c r="AP517" s="88"/>
      <c r="AQ517" s="88"/>
      <c r="AR517" s="88"/>
      <c r="AS517" s="88"/>
      <c r="AT517" s="88"/>
      <c r="AU517" s="88"/>
      <c r="AV517" s="88"/>
      <c r="AW517" s="88"/>
      <c r="AX517" s="88"/>
      <c r="AY517" s="88"/>
      <c r="AZ517" s="88"/>
      <c r="BA517" s="88"/>
      <c r="BB517" s="88"/>
      <c r="BC517" s="88"/>
      <c r="BD517" s="88"/>
      <c r="BE517" s="88"/>
      <c r="BF517" s="88"/>
      <c r="BG517" s="88"/>
      <c r="BH517" s="88"/>
      <c r="BI517" s="88"/>
      <c r="BJ517" s="88"/>
    </row>
    <row r="518" spans="1:62" x14ac:dyDescent="0.3">
      <c r="A518" s="5"/>
      <c r="B518" s="5"/>
      <c r="C518" s="5"/>
      <c r="D518" s="5"/>
      <c r="E518" s="7" t="s">
        <v>2</v>
      </c>
      <c r="F518" s="15" t="str">
        <f>$C$2</f>
        <v xml:space="preserve"> </v>
      </c>
      <c r="G518" s="5"/>
      <c r="H518" s="15"/>
      <c r="I518" s="7" t="s">
        <v>9</v>
      </c>
      <c r="J518" s="17" t="str">
        <f>$G$3</f>
        <v>IR</v>
      </c>
      <c r="K518" s="17"/>
      <c r="L518" s="18"/>
      <c r="M518" s="9">
        <v>1</v>
      </c>
      <c r="N518" s="9"/>
      <c r="O518" s="9"/>
      <c r="P518" s="9"/>
      <c r="Q518" s="33"/>
      <c r="R518" s="33"/>
      <c r="S518" s="31"/>
    </row>
    <row r="519" spans="1:62" x14ac:dyDescent="0.3">
      <c r="A519" s="5"/>
      <c r="B519" s="5"/>
      <c r="C519" s="5"/>
      <c r="D519" s="5"/>
      <c r="E519" s="7" t="s">
        <v>3</v>
      </c>
      <c r="F519" s="15" t="str">
        <f>$C$3</f>
        <v>20/10/2013</v>
      </c>
      <c r="G519" s="5"/>
      <c r="H519" s="15"/>
      <c r="I519" s="7" t="s">
        <v>6</v>
      </c>
      <c r="J519" s="8" t="str">
        <f>L519&amp;" of "&amp;$G$1</f>
        <v>10 of 15</v>
      </c>
      <c r="K519" s="15"/>
      <c r="L519" s="18">
        <f>SUM($M$1:M518)</f>
        <v>10</v>
      </c>
      <c r="M519" s="9"/>
      <c r="N519" s="9"/>
      <c r="O519" s="9"/>
      <c r="P519" s="9"/>
      <c r="Q519" s="33"/>
      <c r="R519" s="33"/>
      <c r="S519" s="31"/>
    </row>
    <row r="520" spans="1:62" x14ac:dyDescent="0.3">
      <c r="E520" s="7" t="s">
        <v>131</v>
      </c>
      <c r="F520" s="15" t="str">
        <f>$C$5</f>
        <v>STANDARD SPREADSHEET METHOD</v>
      </c>
      <c r="G520" s="5"/>
      <c r="H520" s="5"/>
      <c r="I520" s="19"/>
      <c r="J520" s="8"/>
      <c r="K520" s="5"/>
      <c r="L520" s="5"/>
      <c r="M520" s="9"/>
      <c r="N520" s="9"/>
      <c r="O520" s="9"/>
      <c r="P520" s="9"/>
      <c r="Q520" s="33"/>
      <c r="R520" s="33"/>
      <c r="S520" s="31"/>
    </row>
    <row r="521" spans="1:62" ht="13.5" customHeight="1" x14ac:dyDescent="0.3">
      <c r="A521" s="190"/>
      <c r="B521" s="21" t="str">
        <f>$G$4</f>
        <v>SIMPLE LANDING GEAR LOADS</v>
      </c>
      <c r="C521" s="190"/>
      <c r="D521" s="190"/>
      <c r="E521" s="190"/>
      <c r="F521" s="190"/>
      <c r="G521" s="190"/>
      <c r="H521" s="190"/>
      <c r="I521" s="190"/>
      <c r="J521" s="190"/>
      <c r="K521" s="190"/>
      <c r="L521" s="191"/>
      <c r="M521" s="192"/>
      <c r="N521" s="192"/>
      <c r="O521" s="192"/>
      <c r="P521" s="192"/>
      <c r="Q521" s="33"/>
      <c r="R521" s="33"/>
      <c r="S521" s="31"/>
      <c r="V521" s="41"/>
      <c r="W521" s="83"/>
      <c r="X521" s="83"/>
      <c r="Y521" s="83"/>
      <c r="Z521" s="83"/>
      <c r="AA521" s="83"/>
      <c r="AB521" s="83"/>
      <c r="AC521" s="83"/>
      <c r="AD521" s="83"/>
      <c r="AE521" s="83"/>
      <c r="AF521" s="83"/>
      <c r="AG521" s="83"/>
      <c r="AH521" s="83"/>
      <c r="AI521" s="83"/>
      <c r="AJ521" s="83"/>
      <c r="AK521" s="83"/>
      <c r="AL521" s="83"/>
      <c r="AM521" s="83"/>
      <c r="AN521" s="83"/>
      <c r="AO521" s="83"/>
      <c r="AP521" s="83"/>
      <c r="AQ521" s="83"/>
      <c r="AR521" s="83"/>
      <c r="AS521" s="83"/>
      <c r="AT521" s="83"/>
      <c r="AU521" s="83"/>
      <c r="AV521" s="83"/>
      <c r="AW521" s="83"/>
      <c r="AX521" s="83"/>
      <c r="AY521" s="83"/>
      <c r="AZ521" s="83"/>
      <c r="BA521" s="83"/>
      <c r="BB521" s="83"/>
      <c r="BC521" s="83"/>
      <c r="BD521" s="83"/>
      <c r="BE521" s="83"/>
      <c r="BF521" s="83"/>
      <c r="BG521" s="83"/>
      <c r="BH521" s="83"/>
      <c r="BI521" s="83"/>
      <c r="BJ521" s="83"/>
    </row>
    <row r="522" spans="1:62" x14ac:dyDescent="0.3">
      <c r="A522" s="37"/>
      <c r="B522" s="26" t="s">
        <v>88</v>
      </c>
      <c r="O522" s="32"/>
      <c r="P522" s="31"/>
      <c r="Q522" s="33"/>
      <c r="R522" s="33"/>
      <c r="S522" s="31"/>
    </row>
    <row r="523" spans="1:62" x14ac:dyDescent="0.3">
      <c r="B523" s="26"/>
      <c r="O523" s="32"/>
      <c r="P523" s="31"/>
      <c r="Q523" s="33"/>
      <c r="R523" s="33"/>
      <c r="S523" s="31"/>
      <c r="V523" s="41"/>
      <c r="W523" s="79"/>
      <c r="X523" s="79"/>
      <c r="Y523" s="79"/>
      <c r="Z523" s="79"/>
      <c r="AA523" s="79"/>
      <c r="AB523" s="79"/>
      <c r="AC523" s="79"/>
      <c r="AD523" s="79"/>
      <c r="AE523" s="79"/>
      <c r="AF523" s="79"/>
      <c r="AG523" s="79"/>
      <c r="AH523" s="79"/>
      <c r="AI523" s="79"/>
      <c r="AJ523" s="79"/>
      <c r="AK523" s="79"/>
      <c r="AL523" s="79"/>
      <c r="AM523" s="79"/>
      <c r="AN523" s="79"/>
      <c r="AO523" s="79"/>
      <c r="AP523" s="79"/>
      <c r="AQ523" s="79"/>
      <c r="AR523" s="79"/>
      <c r="AS523" s="79"/>
      <c r="AT523" s="79"/>
      <c r="AU523" s="79"/>
      <c r="AV523" s="79"/>
      <c r="AW523" s="79"/>
      <c r="AX523" s="79"/>
      <c r="AY523" s="79"/>
      <c r="AZ523" s="79"/>
      <c r="BA523" s="79"/>
      <c r="BB523" s="79"/>
      <c r="BC523" s="79"/>
      <c r="BD523" s="79"/>
      <c r="BE523" s="79"/>
      <c r="BF523" s="79"/>
      <c r="BG523" s="79"/>
      <c r="BH523" s="79"/>
      <c r="BI523" s="79"/>
      <c r="BJ523" s="79"/>
    </row>
    <row r="524" spans="1:62" x14ac:dyDescent="0.3">
      <c r="A524" s="37"/>
      <c r="B524" s="49" t="str">
        <f>B311</f>
        <v>Max Forward CG Case</v>
      </c>
      <c r="C524" s="30"/>
      <c r="D524" s="30"/>
      <c r="E524" s="30"/>
      <c r="F524" s="30"/>
      <c r="G524" s="30"/>
      <c r="H524" s="30"/>
      <c r="I524" s="30"/>
      <c r="J524" s="30"/>
      <c r="K524" s="30"/>
      <c r="L524" s="27"/>
      <c r="N524" s="34"/>
      <c r="O524" s="32"/>
      <c r="P524" s="31"/>
      <c r="Q524" s="33"/>
      <c r="R524" s="33"/>
      <c r="S524" s="31"/>
    </row>
    <row r="525" spans="1:62" x14ac:dyDescent="0.3">
      <c r="A525" s="37"/>
      <c r="B525" s="49"/>
      <c r="C525" s="30"/>
      <c r="D525" s="30"/>
      <c r="E525" s="30"/>
      <c r="F525" s="30"/>
      <c r="G525" s="30"/>
      <c r="H525" s="30"/>
      <c r="I525" s="30"/>
      <c r="J525" s="30"/>
      <c r="K525" s="30"/>
      <c r="L525" s="27"/>
      <c r="N525" s="34"/>
      <c r="O525" s="32"/>
      <c r="P525" s="31"/>
      <c r="Q525" s="33"/>
      <c r="R525" s="33"/>
      <c r="S525" s="31"/>
    </row>
    <row r="526" spans="1:62" x14ac:dyDescent="0.3">
      <c r="B526" s="26" t="s">
        <v>89</v>
      </c>
      <c r="F526" s="54"/>
      <c r="G526" s="54"/>
      <c r="O526" s="32"/>
      <c r="P526" s="31"/>
      <c r="Q526" s="33"/>
      <c r="R526" s="33"/>
      <c r="S526" s="31"/>
      <c r="V526" s="41"/>
      <c r="W526" s="79"/>
      <c r="AA526" s="79"/>
      <c r="AB526" s="79"/>
      <c r="AC526" s="79"/>
      <c r="AD526" s="79"/>
      <c r="AE526" s="79"/>
      <c r="AF526" s="79"/>
      <c r="AG526" s="79"/>
      <c r="AH526" s="79"/>
      <c r="AI526" s="79"/>
      <c r="AJ526" s="79"/>
      <c r="AK526" s="79"/>
      <c r="AL526" s="79"/>
      <c r="AM526" s="79"/>
      <c r="AN526" s="79"/>
      <c r="AO526" s="79"/>
      <c r="AP526" s="79"/>
      <c r="AQ526" s="79"/>
      <c r="AR526" s="79"/>
      <c r="AS526" s="79"/>
      <c r="AT526" s="79"/>
      <c r="AU526" s="79"/>
      <c r="AV526" s="79"/>
      <c r="AW526" s="79"/>
      <c r="AX526" s="79"/>
      <c r="AY526" s="79"/>
      <c r="AZ526" s="79"/>
      <c r="BA526" s="79"/>
      <c r="BB526" s="79"/>
      <c r="BC526" s="79"/>
      <c r="BD526" s="79"/>
      <c r="BE526" s="79"/>
      <c r="BF526" s="79"/>
      <c r="BG526" s="79"/>
      <c r="BH526" s="79"/>
      <c r="BI526" s="79"/>
      <c r="BJ526" s="79"/>
    </row>
    <row r="527" spans="1:62" ht="15" x14ac:dyDescent="0.35">
      <c r="B527" s="67"/>
      <c r="C527" s="25" t="s">
        <v>143</v>
      </c>
      <c r="D527" s="73">
        <f>E314</f>
        <v>5382.1726198332026</v>
      </c>
      <c r="E527" s="27" t="s">
        <v>38</v>
      </c>
      <c r="I527" s="25"/>
      <c r="J527" s="82"/>
      <c r="K527" s="71"/>
      <c r="O527" s="32"/>
      <c r="P527" s="31"/>
      <c r="Q527" s="33"/>
      <c r="R527" s="33"/>
      <c r="S527" s="31"/>
      <c r="V527" s="41"/>
      <c r="W527" s="79"/>
      <c r="AA527" s="79"/>
      <c r="AB527" s="79"/>
      <c r="AC527" s="79"/>
      <c r="AD527" s="79"/>
      <c r="AE527" s="79"/>
      <c r="AF527" s="79"/>
      <c r="AG527" s="79"/>
      <c r="AH527" s="79"/>
      <c r="AI527" s="79"/>
      <c r="AJ527" s="79"/>
      <c r="AK527" s="79"/>
      <c r="AL527" s="79"/>
      <c r="AM527" s="79"/>
      <c r="AN527" s="79"/>
      <c r="AO527" s="79"/>
      <c r="AP527" s="79"/>
      <c r="AQ527" s="79"/>
      <c r="AR527" s="79"/>
      <c r="AS527" s="79"/>
      <c r="AT527" s="79"/>
      <c r="AU527" s="79"/>
      <c r="AV527" s="79"/>
      <c r="AW527" s="79"/>
      <c r="AX527" s="79"/>
      <c r="AY527" s="79"/>
      <c r="AZ527" s="79"/>
      <c r="BA527" s="79"/>
      <c r="BB527" s="79"/>
      <c r="BC527" s="79"/>
      <c r="BD527" s="79"/>
      <c r="BE527" s="79"/>
      <c r="BF527" s="79"/>
      <c r="BG527" s="79"/>
      <c r="BH527" s="79"/>
      <c r="BI527" s="79"/>
      <c r="BJ527" s="79"/>
    </row>
    <row r="528" spans="1:62" ht="15" x14ac:dyDescent="0.35">
      <c r="C528" s="25" t="s">
        <v>145</v>
      </c>
      <c r="D528" s="73">
        <f>E316</f>
        <v>2316.4781898797091</v>
      </c>
      <c r="E528" s="27" t="s">
        <v>38</v>
      </c>
      <c r="I528" s="72"/>
      <c r="J528" s="68"/>
      <c r="O528" s="32"/>
      <c r="P528" s="31"/>
      <c r="Q528" s="33"/>
      <c r="R528" s="33"/>
      <c r="S528" s="31"/>
      <c r="V528" s="41"/>
      <c r="W528" s="79"/>
      <c r="AA528" s="79"/>
      <c r="AB528" s="79"/>
      <c r="AC528" s="79"/>
      <c r="AD528" s="79"/>
      <c r="AE528" s="79"/>
      <c r="AF528" s="79"/>
      <c r="AG528" s="79"/>
      <c r="AH528" s="79"/>
      <c r="AI528" s="79"/>
      <c r="AJ528" s="79"/>
      <c r="AK528" s="79"/>
      <c r="AL528" s="79"/>
      <c r="AM528" s="79"/>
      <c r="AN528" s="79"/>
      <c r="AO528" s="79"/>
      <c r="AP528" s="79"/>
      <c r="AQ528" s="79"/>
      <c r="AR528" s="79"/>
      <c r="AS528" s="79"/>
      <c r="AT528" s="79"/>
      <c r="AU528" s="79"/>
      <c r="AV528" s="79"/>
      <c r="AW528" s="79"/>
      <c r="AX528" s="79"/>
      <c r="AY528" s="79"/>
      <c r="AZ528" s="79"/>
      <c r="BA528" s="79"/>
      <c r="BB528" s="79"/>
      <c r="BC528" s="79"/>
      <c r="BD528" s="79"/>
      <c r="BE528" s="79"/>
      <c r="BF528" s="79"/>
      <c r="BG528" s="79"/>
      <c r="BH528" s="79"/>
      <c r="BI528" s="79"/>
      <c r="BJ528" s="79"/>
    </row>
    <row r="529" spans="1:62" x14ac:dyDescent="0.3">
      <c r="B529" s="25"/>
      <c r="I529" s="67"/>
      <c r="J529" s="73"/>
      <c r="O529" s="32"/>
      <c r="P529" s="31"/>
      <c r="Q529" s="33"/>
      <c r="R529" s="33"/>
      <c r="S529" s="31"/>
      <c r="V529" s="41"/>
      <c r="W529" s="79"/>
      <c r="AA529" s="79"/>
      <c r="AB529" s="79"/>
      <c r="AC529" s="79"/>
      <c r="AD529" s="79"/>
      <c r="AE529" s="79"/>
      <c r="AF529" s="79"/>
      <c r="AG529" s="79"/>
      <c r="AH529" s="79"/>
      <c r="AI529" s="79"/>
      <c r="AJ529" s="79"/>
      <c r="AK529" s="79"/>
      <c r="AL529" s="79"/>
      <c r="AM529" s="79"/>
      <c r="AN529" s="79"/>
      <c r="AO529" s="79"/>
      <c r="AP529" s="79"/>
      <c r="AQ529" s="79"/>
      <c r="AR529" s="79"/>
      <c r="AS529" s="79"/>
      <c r="AT529" s="79"/>
      <c r="AU529" s="79"/>
      <c r="AV529" s="79"/>
      <c r="AW529" s="79"/>
      <c r="AX529" s="79"/>
      <c r="AY529" s="79"/>
      <c r="AZ529" s="79"/>
      <c r="BA529" s="79"/>
      <c r="BB529" s="79"/>
      <c r="BC529" s="79"/>
      <c r="BD529" s="79"/>
      <c r="BE529" s="79"/>
      <c r="BF529" s="79"/>
      <c r="BG529" s="79"/>
      <c r="BH529" s="79"/>
      <c r="BI529" s="79"/>
      <c r="BJ529" s="79"/>
    </row>
    <row r="530" spans="1:62" x14ac:dyDescent="0.3">
      <c r="B530" s="26" t="s">
        <v>90</v>
      </c>
      <c r="C530" s="85"/>
      <c r="F530" s="25"/>
      <c r="L530" s="27"/>
      <c r="N530" s="34"/>
      <c r="O530" s="32"/>
      <c r="P530" s="31"/>
      <c r="Q530" s="33"/>
      <c r="R530" s="33"/>
      <c r="S530" s="31"/>
      <c r="V530" s="41"/>
      <c r="W530" s="79"/>
      <c r="X530" s="79"/>
      <c r="Y530" s="79"/>
      <c r="Z530" s="79"/>
      <c r="AA530" s="79"/>
      <c r="AB530" s="79"/>
      <c r="AC530" s="79"/>
      <c r="AD530" s="79"/>
      <c r="AE530" s="79"/>
      <c r="AF530" s="79"/>
      <c r="AG530" s="79"/>
      <c r="AH530" s="79"/>
      <c r="AI530" s="79"/>
      <c r="AJ530" s="79"/>
      <c r="AK530" s="79"/>
      <c r="AL530" s="79"/>
      <c r="AM530" s="79"/>
      <c r="AN530" s="79"/>
      <c r="AO530" s="79"/>
      <c r="AP530" s="79"/>
      <c r="AQ530" s="79"/>
      <c r="AR530" s="79"/>
      <c r="AS530" s="79"/>
      <c r="AT530" s="79"/>
      <c r="AU530" s="79"/>
      <c r="AV530" s="79"/>
      <c r="AW530" s="79"/>
      <c r="AX530" s="79"/>
      <c r="AY530" s="79"/>
      <c r="AZ530" s="79"/>
      <c r="BA530" s="79"/>
      <c r="BB530" s="79"/>
      <c r="BC530" s="79"/>
      <c r="BD530" s="79"/>
      <c r="BE530" s="79"/>
      <c r="BF530" s="79"/>
      <c r="BG530" s="79"/>
      <c r="BH530" s="79"/>
      <c r="BI530" s="79"/>
      <c r="BJ530" s="79"/>
    </row>
    <row r="531" spans="1:62" ht="15" x14ac:dyDescent="0.35">
      <c r="B531" s="67"/>
      <c r="C531" s="25" t="s">
        <v>143</v>
      </c>
      <c r="D531" s="73">
        <f>E358</f>
        <v>7661.2258144191501</v>
      </c>
      <c r="E531" s="27" t="s">
        <v>38</v>
      </c>
      <c r="I531" s="25"/>
      <c r="J531" s="82"/>
      <c r="K531" s="71"/>
      <c r="L531" s="27"/>
      <c r="N531" s="34"/>
      <c r="O531" s="32"/>
      <c r="P531" s="31"/>
      <c r="Q531" s="33"/>
      <c r="R531" s="33"/>
      <c r="S531" s="31"/>
      <c r="V531" s="41"/>
      <c r="W531" s="79"/>
      <c r="X531" s="79"/>
      <c r="Y531" s="79"/>
      <c r="Z531" s="79"/>
      <c r="AA531" s="79"/>
      <c r="AB531" s="79"/>
      <c r="AC531" s="79"/>
      <c r="AD531" s="79"/>
      <c r="AE531" s="79"/>
      <c r="AF531" s="79"/>
      <c r="AG531" s="79"/>
      <c r="AH531" s="79"/>
      <c r="AI531" s="79"/>
      <c r="AJ531" s="79"/>
      <c r="AK531" s="79"/>
      <c r="AL531" s="79"/>
      <c r="AM531" s="79"/>
      <c r="AN531" s="79"/>
      <c r="AO531" s="79"/>
      <c r="AP531" s="79"/>
      <c r="AQ531" s="79"/>
      <c r="AR531" s="79"/>
      <c r="AS531" s="79"/>
      <c r="AT531" s="79"/>
      <c r="AU531" s="79"/>
      <c r="AV531" s="79"/>
      <c r="AW531" s="79"/>
      <c r="AX531" s="79"/>
      <c r="AY531" s="79"/>
      <c r="AZ531" s="79"/>
      <c r="BA531" s="79"/>
      <c r="BB531" s="79"/>
      <c r="BC531" s="79"/>
      <c r="BD531" s="79"/>
      <c r="BE531" s="79"/>
      <c r="BF531" s="79"/>
      <c r="BG531" s="79"/>
      <c r="BH531" s="79"/>
      <c r="BI531" s="79"/>
      <c r="BJ531" s="79"/>
    </row>
    <row r="532" spans="1:62" ht="15" x14ac:dyDescent="0.35">
      <c r="C532" s="25" t="s">
        <v>145</v>
      </c>
      <c r="D532" s="73">
        <f>E360</f>
        <v>3297.3789137583194</v>
      </c>
      <c r="E532" s="27" t="s">
        <v>38</v>
      </c>
      <c r="I532" s="72"/>
      <c r="J532" s="68"/>
      <c r="L532" s="27"/>
      <c r="N532" s="34"/>
      <c r="O532" s="32"/>
      <c r="P532" s="31"/>
      <c r="Q532" s="33"/>
      <c r="R532" s="33"/>
      <c r="S532" s="31"/>
      <c r="V532" s="41"/>
      <c r="W532" s="79"/>
      <c r="X532" s="79"/>
      <c r="Y532" s="79"/>
      <c r="Z532" s="79"/>
      <c r="AA532" s="79"/>
      <c r="AB532" s="79"/>
      <c r="AC532" s="79"/>
      <c r="AD532" s="79"/>
      <c r="AE532" s="79"/>
      <c r="AF532" s="79"/>
      <c r="AG532" s="79"/>
      <c r="AH532" s="79"/>
      <c r="AI532" s="79"/>
      <c r="AJ532" s="79"/>
      <c r="AK532" s="79"/>
      <c r="AL532" s="79"/>
      <c r="AM532" s="79"/>
      <c r="AN532" s="79"/>
      <c r="AO532" s="79"/>
      <c r="AP532" s="79"/>
      <c r="AQ532" s="79"/>
      <c r="AR532" s="79"/>
      <c r="AS532" s="79"/>
      <c r="AT532" s="79"/>
      <c r="AU532" s="79"/>
      <c r="AV532" s="79"/>
      <c r="AW532" s="79"/>
      <c r="AX532" s="79"/>
      <c r="AY532" s="79"/>
      <c r="AZ532" s="79"/>
      <c r="BA532" s="79"/>
      <c r="BB532" s="79"/>
      <c r="BC532" s="79"/>
      <c r="BD532" s="79"/>
      <c r="BE532" s="79"/>
      <c r="BF532" s="79"/>
      <c r="BG532" s="79"/>
      <c r="BH532" s="79"/>
      <c r="BI532" s="79"/>
      <c r="BJ532" s="79"/>
    </row>
    <row r="533" spans="1:62" x14ac:dyDescent="0.3">
      <c r="B533" s="25"/>
      <c r="I533" s="67"/>
      <c r="J533" s="73"/>
      <c r="L533" s="27"/>
      <c r="N533" s="34"/>
      <c r="O533" s="32"/>
      <c r="P533" s="31"/>
      <c r="Q533" s="33"/>
      <c r="R533" s="33"/>
      <c r="S533" s="31"/>
      <c r="V533" s="41"/>
      <c r="W533" s="79"/>
      <c r="X533" s="79"/>
      <c r="Y533" s="79"/>
      <c r="Z533" s="79"/>
      <c r="AA533" s="79"/>
      <c r="AB533" s="79"/>
      <c r="AC533" s="79"/>
      <c r="AD533" s="79"/>
      <c r="AE533" s="79"/>
      <c r="AF533" s="79"/>
      <c r="AG533" s="79"/>
      <c r="AH533" s="79"/>
      <c r="AI533" s="79"/>
      <c r="AJ533" s="79"/>
      <c r="AK533" s="79"/>
      <c r="AL533" s="79"/>
      <c r="AM533" s="79"/>
      <c r="AN533" s="79"/>
      <c r="AO533" s="79"/>
      <c r="AP533" s="79"/>
      <c r="AQ533" s="79"/>
      <c r="AR533" s="79"/>
      <c r="AS533" s="79"/>
      <c r="AT533" s="79"/>
      <c r="AU533" s="79"/>
      <c r="AV533" s="79"/>
      <c r="AW533" s="79"/>
      <c r="AX533" s="79"/>
      <c r="AY533" s="79"/>
      <c r="AZ533" s="79"/>
      <c r="BA533" s="79"/>
      <c r="BB533" s="79"/>
      <c r="BC533" s="79"/>
      <c r="BD533" s="79"/>
      <c r="BE533" s="79"/>
      <c r="BF533" s="79"/>
      <c r="BG533" s="79"/>
      <c r="BH533" s="79"/>
      <c r="BI533" s="79"/>
      <c r="BJ533" s="79"/>
    </row>
    <row r="534" spans="1:62" x14ac:dyDescent="0.3">
      <c r="A534" s="37"/>
      <c r="B534" s="49" t="str">
        <f>B320</f>
        <v>Max Aft CG Case</v>
      </c>
      <c r="C534" s="30"/>
      <c r="D534" s="30"/>
      <c r="E534" s="30"/>
      <c r="F534" s="30"/>
      <c r="G534" s="30"/>
      <c r="H534" s="30"/>
      <c r="I534" s="30"/>
      <c r="J534" s="30"/>
      <c r="K534" s="30"/>
      <c r="L534" s="27"/>
      <c r="N534" s="34"/>
      <c r="O534" s="32"/>
      <c r="P534" s="31"/>
      <c r="Q534" s="33"/>
      <c r="R534" s="33"/>
      <c r="S534" s="31"/>
      <c r="Z534" s="79"/>
      <c r="AA534" s="79"/>
      <c r="AB534" s="79"/>
      <c r="AC534" s="79"/>
      <c r="AD534" s="79"/>
      <c r="AE534" s="79"/>
      <c r="AF534" s="79"/>
      <c r="AG534" s="79"/>
      <c r="AH534" s="79"/>
      <c r="AI534" s="79"/>
      <c r="AJ534" s="79"/>
      <c r="AK534" s="79"/>
      <c r="AL534" s="79"/>
      <c r="AM534" s="79"/>
      <c r="AN534" s="79"/>
      <c r="AO534" s="79"/>
      <c r="AP534" s="79"/>
      <c r="AQ534" s="79"/>
      <c r="AR534" s="79"/>
      <c r="AS534" s="79"/>
      <c r="AT534" s="79"/>
      <c r="AU534" s="79"/>
      <c r="AV534" s="79"/>
      <c r="AW534" s="79"/>
      <c r="AX534" s="79"/>
      <c r="AY534" s="79"/>
      <c r="AZ534" s="79"/>
      <c r="BA534" s="79"/>
      <c r="BB534" s="79"/>
      <c r="BC534" s="79"/>
      <c r="BD534" s="79"/>
      <c r="BE534" s="79"/>
      <c r="BF534" s="79"/>
      <c r="BG534" s="79"/>
      <c r="BH534" s="79"/>
      <c r="BI534" s="79"/>
      <c r="BJ534" s="79"/>
    </row>
    <row r="535" spans="1:62" x14ac:dyDescent="0.3">
      <c r="L535" s="27"/>
      <c r="N535" s="34"/>
      <c r="O535" s="32"/>
      <c r="P535" s="31"/>
      <c r="Q535" s="33"/>
      <c r="R535" s="33"/>
      <c r="S535" s="31"/>
      <c r="V535" s="41"/>
      <c r="W535" s="79"/>
      <c r="X535" s="79"/>
      <c r="Y535" s="79"/>
      <c r="Z535" s="79"/>
      <c r="AA535" s="79"/>
      <c r="AB535" s="79"/>
      <c r="AC535" s="79"/>
      <c r="AD535" s="79"/>
      <c r="AE535" s="79"/>
      <c r="AF535" s="79"/>
      <c r="AG535" s="79"/>
      <c r="AH535" s="79"/>
      <c r="AI535" s="79"/>
      <c r="AJ535" s="79"/>
      <c r="AK535" s="79"/>
      <c r="AL535" s="79"/>
      <c r="AM535" s="79"/>
      <c r="AN535" s="79"/>
      <c r="AO535" s="79"/>
      <c r="AP535" s="79"/>
      <c r="AQ535" s="79"/>
      <c r="AR535" s="79"/>
      <c r="AS535" s="79"/>
      <c r="AT535" s="79"/>
      <c r="AU535" s="79"/>
      <c r="AV535" s="79"/>
      <c r="AW535" s="79"/>
      <c r="AX535" s="79"/>
      <c r="AY535" s="79"/>
      <c r="AZ535" s="79"/>
      <c r="BA535" s="79"/>
      <c r="BB535" s="79"/>
      <c r="BC535" s="79"/>
      <c r="BD535" s="79"/>
      <c r="BE535" s="79"/>
      <c r="BF535" s="79"/>
      <c r="BG535" s="79"/>
      <c r="BH535" s="79"/>
      <c r="BI535" s="79"/>
      <c r="BJ535" s="79"/>
    </row>
    <row r="536" spans="1:62" x14ac:dyDescent="0.3">
      <c r="B536" s="26" t="s">
        <v>89</v>
      </c>
      <c r="F536" s="54"/>
      <c r="G536" s="54"/>
      <c r="L536" s="27"/>
      <c r="N536" s="34"/>
      <c r="O536" s="32"/>
      <c r="P536" s="31"/>
      <c r="Q536" s="33"/>
      <c r="R536" s="33"/>
      <c r="S536" s="31"/>
      <c r="V536" s="41"/>
      <c r="W536" s="79"/>
      <c r="X536" s="79"/>
      <c r="Y536" s="79"/>
      <c r="Z536" s="79"/>
      <c r="AA536" s="79"/>
      <c r="AB536" s="79"/>
      <c r="AC536" s="79"/>
      <c r="AD536" s="79"/>
      <c r="AE536" s="79"/>
      <c r="AF536" s="79"/>
      <c r="AG536" s="79"/>
      <c r="AH536" s="79"/>
      <c r="AI536" s="79"/>
      <c r="AJ536" s="79"/>
      <c r="AK536" s="79"/>
      <c r="AL536" s="79"/>
      <c r="AM536" s="79"/>
      <c r="AN536" s="79"/>
      <c r="AO536" s="79"/>
      <c r="AP536" s="79"/>
      <c r="AQ536" s="79"/>
      <c r="AR536" s="79"/>
      <c r="AS536" s="79"/>
      <c r="AT536" s="79"/>
      <c r="AU536" s="79"/>
      <c r="AV536" s="79"/>
      <c r="AW536" s="79"/>
      <c r="AX536" s="79"/>
      <c r="AY536" s="79"/>
      <c r="AZ536" s="79"/>
      <c r="BA536" s="79"/>
      <c r="BB536" s="79"/>
      <c r="BC536" s="79"/>
      <c r="BD536" s="79"/>
      <c r="BE536" s="79"/>
      <c r="BF536" s="79"/>
      <c r="BG536" s="79"/>
      <c r="BH536" s="79"/>
      <c r="BI536" s="79"/>
      <c r="BJ536" s="79"/>
    </row>
    <row r="537" spans="1:62" ht="15" x14ac:dyDescent="0.35">
      <c r="B537" s="67"/>
      <c r="C537" s="25" t="s">
        <v>143</v>
      </c>
      <c r="D537" s="73">
        <f>E323</f>
        <v>5710.0419465524164</v>
      </c>
      <c r="E537" s="27" t="s">
        <v>38</v>
      </c>
      <c r="I537" s="25"/>
      <c r="J537" s="82"/>
      <c r="K537" s="71"/>
      <c r="L537" s="27"/>
      <c r="N537" s="34"/>
      <c r="O537" s="32"/>
      <c r="P537" s="31"/>
      <c r="Q537" s="33"/>
      <c r="R537" s="33"/>
      <c r="S537" s="31"/>
      <c r="Z537" s="79"/>
      <c r="AA537" s="79"/>
      <c r="AB537" s="79"/>
      <c r="AC537" s="79"/>
      <c r="AD537" s="79"/>
      <c r="AE537" s="79"/>
      <c r="AF537" s="79"/>
      <c r="AG537" s="79"/>
      <c r="AH537" s="79"/>
      <c r="AI537" s="79"/>
      <c r="AJ537" s="79"/>
      <c r="AK537" s="79"/>
      <c r="AL537" s="79"/>
      <c r="AM537" s="79"/>
      <c r="AN537" s="79"/>
      <c r="AO537" s="79"/>
      <c r="AP537" s="79"/>
      <c r="AQ537" s="79"/>
      <c r="AR537" s="79"/>
      <c r="AS537" s="79"/>
      <c r="AT537" s="79"/>
      <c r="AU537" s="79"/>
      <c r="AV537" s="79"/>
      <c r="AW537" s="79"/>
      <c r="AX537" s="79"/>
      <c r="AY537" s="79"/>
      <c r="AZ537" s="79"/>
      <c r="BA537" s="79"/>
      <c r="BB537" s="79"/>
      <c r="BC537" s="79"/>
      <c r="BD537" s="79"/>
      <c r="BE537" s="79"/>
      <c r="BF537" s="79"/>
      <c r="BG537" s="79"/>
      <c r="BH537" s="79"/>
      <c r="BI537" s="79"/>
      <c r="BJ537" s="79"/>
    </row>
    <row r="538" spans="1:62" ht="15" x14ac:dyDescent="0.35">
      <c r="C538" s="25" t="s">
        <v>145</v>
      </c>
      <c r="D538" s="73">
        <f>E325</f>
        <v>2457.5926055855252</v>
      </c>
      <c r="E538" s="27" t="s">
        <v>38</v>
      </c>
      <c r="I538" s="72"/>
      <c r="J538" s="68"/>
      <c r="L538" s="27"/>
      <c r="N538" s="34"/>
      <c r="O538" s="32"/>
      <c r="P538" s="31"/>
      <c r="Q538" s="33"/>
      <c r="R538" s="33"/>
      <c r="S538" s="31"/>
      <c r="Z538" s="79"/>
      <c r="AA538" s="79"/>
      <c r="AB538" s="79"/>
      <c r="AC538" s="79"/>
      <c r="AD538" s="79"/>
      <c r="AE538" s="79"/>
      <c r="AF538" s="79"/>
      <c r="AG538" s="79"/>
      <c r="AH538" s="79"/>
      <c r="AI538" s="79"/>
      <c r="AJ538" s="79"/>
      <c r="AK538" s="79"/>
      <c r="AL538" s="79"/>
      <c r="AM538" s="79"/>
      <c r="AN538" s="79"/>
      <c r="AO538" s="79"/>
      <c r="AP538" s="79"/>
      <c r="AQ538" s="79"/>
      <c r="AR538" s="79"/>
      <c r="AS538" s="79"/>
      <c r="AT538" s="79"/>
      <c r="AU538" s="79"/>
      <c r="AV538" s="79"/>
      <c r="AW538" s="79"/>
      <c r="AX538" s="79"/>
      <c r="AY538" s="79"/>
      <c r="AZ538" s="79"/>
      <c r="BA538" s="79"/>
      <c r="BB538" s="79"/>
      <c r="BC538" s="79"/>
      <c r="BD538" s="79"/>
      <c r="BE538" s="79"/>
      <c r="BF538" s="79"/>
      <c r="BG538" s="79"/>
      <c r="BH538" s="79"/>
      <c r="BI538" s="79"/>
      <c r="BJ538" s="79"/>
    </row>
    <row r="539" spans="1:62" x14ac:dyDescent="0.3">
      <c r="B539" s="25"/>
      <c r="I539" s="67"/>
      <c r="J539" s="73"/>
      <c r="L539" s="27"/>
      <c r="N539" s="34"/>
      <c r="O539" s="32"/>
      <c r="P539" s="31"/>
      <c r="Q539" s="33"/>
      <c r="R539" s="33"/>
      <c r="S539" s="31"/>
      <c r="Z539" s="79"/>
      <c r="AA539" s="79"/>
      <c r="AB539" s="79"/>
      <c r="AC539" s="79"/>
      <c r="AD539" s="79"/>
      <c r="AE539" s="79"/>
      <c r="AF539" s="79"/>
      <c r="AG539" s="79"/>
      <c r="AH539" s="79"/>
      <c r="AI539" s="79"/>
      <c r="AJ539" s="79"/>
      <c r="AK539" s="79"/>
      <c r="AL539" s="79"/>
      <c r="AM539" s="79"/>
      <c r="AN539" s="79"/>
      <c r="AO539" s="79"/>
      <c r="AP539" s="79"/>
      <c r="AQ539" s="79"/>
      <c r="AR539" s="79"/>
      <c r="AS539" s="79"/>
      <c r="AT539" s="79"/>
      <c r="AU539" s="79"/>
      <c r="AV539" s="79"/>
      <c r="AW539" s="79"/>
      <c r="AX539" s="79"/>
      <c r="AY539" s="79"/>
      <c r="AZ539" s="79"/>
      <c r="BA539" s="79"/>
      <c r="BB539" s="79"/>
      <c r="BC539" s="79"/>
      <c r="BD539" s="79"/>
      <c r="BE539" s="79"/>
      <c r="BF539" s="79"/>
      <c r="BG539" s="79"/>
      <c r="BH539" s="79"/>
      <c r="BI539" s="79"/>
      <c r="BJ539" s="79"/>
    </row>
    <row r="540" spans="1:62" x14ac:dyDescent="0.3">
      <c r="B540" s="26" t="s">
        <v>90</v>
      </c>
      <c r="C540" s="85"/>
      <c r="F540" s="25"/>
      <c r="L540" s="27"/>
      <c r="N540" s="34"/>
      <c r="O540" s="32"/>
      <c r="P540" s="31"/>
      <c r="Q540" s="33"/>
      <c r="R540" s="33"/>
      <c r="S540" s="31"/>
      <c r="U540" s="30">
        <f>(D541+2/3*H228)/H228</f>
        <v>1.7628500712194139</v>
      </c>
      <c r="V540" s="41"/>
      <c r="Z540" s="79"/>
      <c r="AA540" s="79"/>
      <c r="AB540" s="79"/>
      <c r="AC540" s="79"/>
      <c r="AD540" s="79"/>
      <c r="AE540" s="79"/>
      <c r="AF540" s="79"/>
      <c r="AG540" s="79"/>
      <c r="AH540" s="79"/>
      <c r="AI540" s="79"/>
      <c r="AJ540" s="79"/>
      <c r="AK540" s="79"/>
      <c r="AL540" s="79"/>
      <c r="AM540" s="79"/>
      <c r="AN540" s="79"/>
      <c r="AO540" s="79"/>
      <c r="AP540" s="79"/>
      <c r="AQ540" s="79"/>
      <c r="AR540" s="79"/>
      <c r="AS540" s="79"/>
      <c r="AT540" s="79"/>
      <c r="AU540" s="79"/>
      <c r="AV540" s="79"/>
      <c r="AW540" s="79"/>
      <c r="AX540" s="79"/>
      <c r="AY540" s="79"/>
      <c r="AZ540" s="79"/>
      <c r="BA540" s="79"/>
      <c r="BB540" s="79"/>
      <c r="BC540" s="79"/>
      <c r="BD540" s="79"/>
      <c r="BE540" s="79"/>
      <c r="BF540" s="79"/>
      <c r="BG540" s="79"/>
      <c r="BH540" s="79"/>
      <c r="BI540" s="79"/>
      <c r="BJ540" s="79"/>
    </row>
    <row r="541" spans="1:62" ht="15" x14ac:dyDescent="0.35">
      <c r="B541" s="67"/>
      <c r="C541" s="25" t="s">
        <v>143</v>
      </c>
      <c r="D541" s="73">
        <f>E369</f>
        <v>7175.6165662022831</v>
      </c>
      <c r="E541" s="27" t="s">
        <v>38</v>
      </c>
      <c r="I541" s="25"/>
      <c r="J541" s="82"/>
      <c r="K541" s="71"/>
      <c r="L541" s="27"/>
      <c r="N541" s="34"/>
      <c r="O541" s="32"/>
      <c r="P541" s="31"/>
      <c r="Q541" s="33"/>
      <c r="R541" s="33"/>
      <c r="S541" s="31"/>
      <c r="V541" s="104"/>
      <c r="W541" s="99"/>
      <c r="X541" s="56"/>
      <c r="Z541" s="79"/>
      <c r="AA541" s="79"/>
      <c r="AB541" s="79"/>
      <c r="AC541" s="79"/>
      <c r="AD541" s="79"/>
      <c r="AE541" s="79"/>
      <c r="AF541" s="79"/>
      <c r="AG541" s="79"/>
      <c r="AH541" s="79"/>
      <c r="AI541" s="79"/>
      <c r="AJ541" s="79"/>
      <c r="AK541" s="79"/>
      <c r="AL541" s="79"/>
      <c r="AM541" s="79"/>
      <c r="AN541" s="79"/>
      <c r="AO541" s="79"/>
      <c r="AP541" s="79"/>
      <c r="AQ541" s="79"/>
      <c r="AR541" s="79"/>
      <c r="AS541" s="79"/>
      <c r="AT541" s="79"/>
      <c r="AU541" s="79"/>
      <c r="AV541" s="79"/>
      <c r="AW541" s="79"/>
      <c r="AX541" s="79"/>
      <c r="AY541" s="79"/>
      <c r="AZ541" s="79"/>
      <c r="BA541" s="79"/>
      <c r="BB541" s="79"/>
      <c r="BC541" s="79"/>
      <c r="BD541" s="79"/>
      <c r="BE541" s="79"/>
      <c r="BF541" s="79"/>
      <c r="BG541" s="79"/>
      <c r="BH541" s="79"/>
      <c r="BI541" s="79"/>
      <c r="BJ541" s="79"/>
    </row>
    <row r="542" spans="1:62" ht="15" x14ac:dyDescent="0.35">
      <c r="C542" s="25" t="s">
        <v>145</v>
      </c>
      <c r="D542" s="73">
        <f>E371</f>
        <v>3088.3734968467534</v>
      </c>
      <c r="E542" s="27" t="s">
        <v>38</v>
      </c>
      <c r="I542" s="72"/>
      <c r="J542" s="68"/>
      <c r="L542" s="27"/>
      <c r="N542" s="34"/>
      <c r="O542" s="32"/>
      <c r="P542" s="31"/>
      <c r="Q542" s="33"/>
      <c r="R542" s="33"/>
      <c r="S542" s="31"/>
      <c r="V542" s="104"/>
      <c r="W542" s="99"/>
      <c r="X542" s="56"/>
      <c r="Z542" s="79"/>
      <c r="AA542" s="79"/>
      <c r="AB542" s="79"/>
      <c r="AC542" s="79"/>
      <c r="AD542" s="79"/>
      <c r="AE542" s="79"/>
      <c r="AF542" s="79"/>
      <c r="AG542" s="79"/>
      <c r="AH542" s="79"/>
      <c r="AI542" s="79"/>
      <c r="AJ542" s="79"/>
      <c r="AK542" s="79"/>
      <c r="AL542" s="79"/>
      <c r="AM542" s="79"/>
      <c r="AN542" s="79"/>
      <c r="AO542" s="79"/>
      <c r="AP542" s="79"/>
      <c r="AQ542" s="79"/>
      <c r="AR542" s="79"/>
      <c r="AS542" s="79"/>
      <c r="AT542" s="79"/>
      <c r="AU542" s="79"/>
      <c r="AV542" s="79"/>
      <c r="AW542" s="79"/>
      <c r="AX542" s="79"/>
      <c r="AY542" s="79"/>
      <c r="AZ542" s="79"/>
      <c r="BA542" s="79"/>
      <c r="BB542" s="79"/>
      <c r="BC542" s="79"/>
      <c r="BD542" s="79"/>
      <c r="BE542" s="79"/>
      <c r="BF542" s="79"/>
      <c r="BG542" s="79"/>
      <c r="BH542" s="79"/>
      <c r="BI542" s="79"/>
      <c r="BJ542" s="79"/>
    </row>
    <row r="543" spans="1:62" x14ac:dyDescent="0.3">
      <c r="B543" s="25"/>
      <c r="I543" s="67"/>
      <c r="J543" s="73"/>
      <c r="L543" s="27"/>
      <c r="N543" s="34"/>
      <c r="O543" s="32"/>
      <c r="P543" s="31"/>
      <c r="Q543" s="33"/>
      <c r="R543" s="33"/>
      <c r="S543" s="31"/>
      <c r="V543" s="41"/>
      <c r="X543" s="56"/>
      <c r="Z543" s="79"/>
      <c r="AA543" s="79"/>
      <c r="AB543" s="79"/>
      <c r="AC543" s="79"/>
      <c r="AD543" s="79"/>
      <c r="AE543" s="79"/>
      <c r="AF543" s="79"/>
      <c r="AG543" s="79"/>
      <c r="AH543" s="79"/>
      <c r="AI543" s="79"/>
      <c r="AJ543" s="79"/>
      <c r="AK543" s="79"/>
      <c r="AL543" s="79"/>
      <c r="AM543" s="79"/>
      <c r="AN543" s="79"/>
      <c r="AO543" s="79"/>
      <c r="AP543" s="79"/>
      <c r="AQ543" s="79"/>
      <c r="AR543" s="79"/>
      <c r="AS543" s="79"/>
      <c r="AT543" s="79"/>
      <c r="AU543" s="79"/>
      <c r="AV543" s="79"/>
      <c r="AW543" s="79"/>
      <c r="AX543" s="79"/>
      <c r="AY543" s="79"/>
      <c r="AZ543" s="79"/>
      <c r="BA543" s="79"/>
      <c r="BB543" s="79"/>
      <c r="BC543" s="79"/>
      <c r="BD543" s="79"/>
      <c r="BE543" s="79"/>
      <c r="BF543" s="79"/>
      <c r="BG543" s="79"/>
      <c r="BH543" s="79"/>
      <c r="BI543" s="79"/>
      <c r="BJ543" s="79"/>
    </row>
    <row r="544" spans="1:62" x14ac:dyDescent="0.3">
      <c r="A544" s="37"/>
      <c r="B544" s="49" t="str">
        <f>B378</f>
        <v>Minimum Weight Case</v>
      </c>
      <c r="C544" s="30"/>
      <c r="D544" s="30"/>
      <c r="E544" s="30"/>
      <c r="F544" s="30"/>
      <c r="G544" s="30"/>
      <c r="H544" s="30"/>
      <c r="I544" s="30"/>
      <c r="J544" s="30"/>
      <c r="K544" s="30"/>
      <c r="L544" s="27"/>
      <c r="N544" s="34"/>
      <c r="O544" s="32"/>
      <c r="P544" s="31"/>
      <c r="Q544" s="33"/>
      <c r="R544" s="33"/>
      <c r="S544" s="31"/>
      <c r="Z544" s="79"/>
      <c r="AA544" s="79"/>
      <c r="AB544" s="79"/>
      <c r="AC544" s="79"/>
      <c r="AD544" s="79"/>
      <c r="AE544" s="79"/>
      <c r="AF544" s="79"/>
      <c r="AG544" s="79"/>
      <c r="AH544" s="79"/>
      <c r="AI544" s="79"/>
      <c r="AJ544" s="79"/>
      <c r="AK544" s="79"/>
      <c r="AL544" s="79"/>
      <c r="AM544" s="79"/>
      <c r="AN544" s="79"/>
      <c r="AO544" s="79"/>
      <c r="AP544" s="79"/>
      <c r="AQ544" s="79"/>
      <c r="AR544" s="79"/>
      <c r="AS544" s="79"/>
      <c r="AT544" s="79"/>
      <c r="AU544" s="79"/>
      <c r="AV544" s="79"/>
      <c r="AW544" s="79"/>
      <c r="AX544" s="79"/>
      <c r="AY544" s="79"/>
      <c r="AZ544" s="79"/>
      <c r="BA544" s="79"/>
      <c r="BB544" s="79"/>
      <c r="BC544" s="79"/>
      <c r="BD544" s="79"/>
      <c r="BE544" s="79"/>
      <c r="BF544" s="79"/>
      <c r="BG544" s="79"/>
      <c r="BH544" s="79"/>
      <c r="BI544" s="79"/>
      <c r="BJ544" s="79"/>
    </row>
    <row r="545" spans="1:62" x14ac:dyDescent="0.3">
      <c r="L545" s="27"/>
      <c r="N545" s="34"/>
      <c r="O545" s="32"/>
      <c r="P545" s="31"/>
      <c r="Q545" s="33"/>
      <c r="R545" s="33"/>
      <c r="S545" s="31"/>
      <c r="V545" s="41"/>
      <c r="Z545" s="79"/>
      <c r="AA545" s="79"/>
      <c r="AB545" s="79"/>
      <c r="AC545" s="79"/>
      <c r="AD545" s="79"/>
      <c r="AE545" s="79"/>
      <c r="AF545" s="79"/>
      <c r="AG545" s="79"/>
      <c r="AH545" s="79"/>
      <c r="AI545" s="79"/>
      <c r="AJ545" s="79"/>
      <c r="AK545" s="79"/>
      <c r="AL545" s="79"/>
      <c r="AM545" s="79"/>
      <c r="AN545" s="79"/>
      <c r="AO545" s="79"/>
      <c r="AP545" s="79"/>
      <c r="AQ545" s="79"/>
      <c r="AR545" s="79"/>
      <c r="AS545" s="79"/>
      <c r="AT545" s="79"/>
      <c r="AU545" s="79"/>
      <c r="AV545" s="79"/>
      <c r="AW545" s="79"/>
      <c r="AX545" s="79"/>
      <c r="AY545" s="79"/>
      <c r="AZ545" s="79"/>
      <c r="BA545" s="79"/>
      <c r="BB545" s="79"/>
      <c r="BC545" s="79"/>
      <c r="BD545" s="79"/>
      <c r="BE545" s="79"/>
      <c r="BF545" s="79"/>
      <c r="BG545" s="79"/>
      <c r="BH545" s="79"/>
      <c r="BI545" s="79"/>
      <c r="BJ545" s="79"/>
    </row>
    <row r="546" spans="1:62" x14ac:dyDescent="0.3">
      <c r="B546" s="26" t="s">
        <v>89</v>
      </c>
      <c r="F546" s="54"/>
      <c r="G546" s="54"/>
      <c r="L546" s="27"/>
      <c r="N546" s="34"/>
      <c r="O546" s="32"/>
      <c r="P546" s="31"/>
      <c r="Q546" s="33"/>
      <c r="R546" s="33"/>
      <c r="S546" s="31"/>
      <c r="V546" s="41"/>
      <c r="Z546" s="79"/>
      <c r="AA546" s="79"/>
      <c r="AB546" s="79"/>
      <c r="AC546" s="79"/>
      <c r="AD546" s="79"/>
      <c r="AE546" s="79"/>
      <c r="AF546" s="79"/>
      <c r="AG546" s="79"/>
      <c r="AH546" s="79"/>
      <c r="AI546" s="79"/>
      <c r="AJ546" s="79"/>
      <c r="AK546" s="79"/>
      <c r="AL546" s="79"/>
      <c r="AM546" s="79"/>
      <c r="AN546" s="79"/>
      <c r="AO546" s="79"/>
      <c r="AP546" s="79"/>
      <c r="AQ546" s="79"/>
      <c r="AR546" s="79"/>
      <c r="AS546" s="79"/>
      <c r="AT546" s="79"/>
      <c r="AU546" s="79"/>
      <c r="AV546" s="79"/>
      <c r="AW546" s="79"/>
      <c r="AX546" s="79"/>
      <c r="AY546" s="79"/>
      <c r="AZ546" s="79"/>
      <c r="BA546" s="79"/>
      <c r="BB546" s="79"/>
      <c r="BC546" s="79"/>
      <c r="BD546" s="79"/>
      <c r="BE546" s="79"/>
      <c r="BF546" s="79"/>
      <c r="BG546" s="79"/>
      <c r="BH546" s="79"/>
      <c r="BI546" s="79"/>
      <c r="BJ546" s="79"/>
    </row>
    <row r="547" spans="1:62" ht="15" x14ac:dyDescent="0.35">
      <c r="B547" s="67"/>
      <c r="C547" s="25" t="s">
        <v>143</v>
      </c>
      <c r="D547" s="73">
        <f>E332</f>
        <v>4524.6338677267113</v>
      </c>
      <c r="E547" s="27" t="s">
        <v>38</v>
      </c>
      <c r="I547" s="25"/>
      <c r="J547" s="82"/>
      <c r="K547" s="71"/>
      <c r="L547" s="27"/>
      <c r="N547" s="34"/>
      <c r="O547" s="32"/>
      <c r="P547" s="31"/>
      <c r="Q547" s="33"/>
      <c r="R547" s="33"/>
      <c r="S547" s="31"/>
      <c r="V547" s="41"/>
      <c r="Z547" s="79"/>
      <c r="AA547" s="79"/>
      <c r="AB547" s="79"/>
      <c r="AC547" s="79"/>
      <c r="AD547" s="79"/>
      <c r="AE547" s="79"/>
      <c r="AF547" s="79"/>
      <c r="AG547" s="79"/>
      <c r="AH547" s="79"/>
      <c r="AI547" s="79"/>
      <c r="AJ547" s="79"/>
      <c r="AK547" s="79"/>
      <c r="AL547" s="79"/>
      <c r="AM547" s="79"/>
      <c r="AN547" s="79"/>
      <c r="AO547" s="79"/>
      <c r="AP547" s="79"/>
      <c r="AQ547" s="79"/>
      <c r="AR547" s="79"/>
      <c r="AS547" s="79"/>
      <c r="AT547" s="79"/>
      <c r="AU547" s="79"/>
      <c r="AV547" s="79"/>
      <c r="AW547" s="79"/>
      <c r="AX547" s="79"/>
      <c r="AY547" s="79"/>
      <c r="AZ547" s="79"/>
      <c r="BA547" s="79"/>
      <c r="BB547" s="79"/>
      <c r="BC547" s="79"/>
      <c r="BD547" s="79"/>
      <c r="BE547" s="79"/>
      <c r="BF547" s="79"/>
      <c r="BG547" s="79"/>
      <c r="BH547" s="79"/>
      <c r="BI547" s="79"/>
      <c r="BJ547" s="79"/>
    </row>
    <row r="548" spans="1:62" ht="15" x14ac:dyDescent="0.35">
      <c r="C548" s="25" t="s">
        <v>145</v>
      </c>
      <c r="D548" s="73">
        <f>E334</f>
        <v>1947.394929913047</v>
      </c>
      <c r="E548" s="27" t="s">
        <v>38</v>
      </c>
      <c r="I548" s="72"/>
      <c r="J548" s="68"/>
      <c r="L548" s="27"/>
      <c r="N548" s="34"/>
      <c r="O548" s="32"/>
      <c r="P548" s="31"/>
      <c r="Q548" s="33"/>
      <c r="R548" s="33"/>
      <c r="S548" s="31"/>
      <c r="V548" s="104"/>
      <c r="Y548" s="56"/>
    </row>
    <row r="549" spans="1:62" x14ac:dyDescent="0.3">
      <c r="B549" s="25"/>
      <c r="I549" s="67"/>
      <c r="J549" s="73"/>
      <c r="L549" s="27"/>
      <c r="N549" s="34"/>
      <c r="O549" s="32"/>
      <c r="P549" s="31"/>
      <c r="Q549" s="33"/>
      <c r="R549" s="33"/>
      <c r="S549" s="31"/>
      <c r="V549" s="104"/>
      <c r="Y549" s="56"/>
      <c r="Z549" s="79"/>
      <c r="AA549" s="79"/>
      <c r="AB549" s="79"/>
      <c r="AC549" s="79"/>
      <c r="AD549" s="79"/>
      <c r="AE549" s="79"/>
      <c r="AF549" s="79"/>
      <c r="AG549" s="79"/>
      <c r="AH549" s="79"/>
      <c r="AI549" s="79"/>
      <c r="AJ549" s="79"/>
      <c r="AK549" s="79"/>
      <c r="AL549" s="79"/>
      <c r="AM549" s="79"/>
      <c r="AN549" s="79"/>
      <c r="AO549" s="79"/>
      <c r="AP549" s="79"/>
      <c r="AQ549" s="79"/>
      <c r="AR549" s="79"/>
      <c r="AS549" s="79"/>
      <c r="AT549" s="79"/>
      <c r="AU549" s="79"/>
      <c r="AV549" s="79"/>
      <c r="AW549" s="79"/>
      <c r="AX549" s="79"/>
      <c r="AY549" s="79"/>
      <c r="AZ549" s="79"/>
      <c r="BA549" s="79"/>
      <c r="BB549" s="79"/>
      <c r="BC549" s="79"/>
      <c r="BD549" s="79"/>
      <c r="BE549" s="79"/>
      <c r="BF549" s="79"/>
      <c r="BG549" s="79"/>
      <c r="BH549" s="79"/>
      <c r="BI549" s="79"/>
      <c r="BJ549" s="79"/>
    </row>
    <row r="550" spans="1:62" x14ac:dyDescent="0.3">
      <c r="B550" s="26" t="s">
        <v>90</v>
      </c>
      <c r="C550" s="85"/>
      <c r="F550" s="25"/>
      <c r="L550" s="27"/>
      <c r="N550" s="34"/>
      <c r="O550" s="32"/>
      <c r="P550" s="31"/>
      <c r="Q550" s="33"/>
      <c r="R550" s="33"/>
      <c r="S550" s="31"/>
      <c r="V550" s="41"/>
      <c r="Y550" s="56"/>
      <c r="Z550" s="79"/>
      <c r="AA550" s="79"/>
      <c r="AB550" s="79"/>
      <c r="AC550" s="79"/>
      <c r="AD550" s="79"/>
      <c r="AE550" s="79"/>
      <c r="AF550" s="79"/>
      <c r="AG550" s="79"/>
      <c r="AH550" s="79"/>
      <c r="AI550" s="79"/>
      <c r="AJ550" s="79"/>
      <c r="AK550" s="79"/>
      <c r="AL550" s="79"/>
      <c r="AM550" s="79"/>
      <c r="AN550" s="79"/>
      <c r="AO550" s="79"/>
      <c r="AP550" s="79"/>
      <c r="AQ550" s="79"/>
      <c r="AR550" s="79"/>
      <c r="AS550" s="79"/>
      <c r="AT550" s="79"/>
      <c r="AU550" s="79"/>
      <c r="AV550" s="79"/>
      <c r="AW550" s="79"/>
      <c r="AX550" s="79"/>
      <c r="AY550" s="79"/>
      <c r="AZ550" s="79"/>
      <c r="BA550" s="79"/>
      <c r="BB550" s="79"/>
      <c r="BC550" s="79"/>
      <c r="BD550" s="79"/>
      <c r="BE550" s="79"/>
      <c r="BF550" s="79"/>
      <c r="BG550" s="79"/>
      <c r="BH550" s="79"/>
      <c r="BI550" s="79"/>
      <c r="BJ550" s="79"/>
    </row>
    <row r="551" spans="1:62" ht="15" x14ac:dyDescent="0.35">
      <c r="B551" s="67"/>
      <c r="C551" s="25" t="s">
        <v>143</v>
      </c>
      <c r="D551" s="73">
        <f>E380</f>
        <v>5780.1750922066358</v>
      </c>
      <c r="E551" s="27" t="s">
        <v>38</v>
      </c>
      <c r="I551" s="25"/>
      <c r="J551" s="82"/>
      <c r="K551" s="71"/>
      <c r="L551" s="27"/>
      <c r="N551" s="34"/>
      <c r="O551" s="32"/>
      <c r="P551" s="31"/>
      <c r="Q551" s="33"/>
      <c r="R551" s="33"/>
      <c r="S551" s="31"/>
      <c r="V551" s="105"/>
    </row>
    <row r="552" spans="1:62" ht="15" x14ac:dyDescent="0.35">
      <c r="C552" s="25" t="s">
        <v>145</v>
      </c>
      <c r="D552" s="73">
        <f>E382</f>
        <v>2487.7777954281896</v>
      </c>
      <c r="E552" s="27" t="s">
        <v>38</v>
      </c>
      <c r="I552" s="72"/>
      <c r="J552" s="68"/>
      <c r="L552" s="27"/>
      <c r="N552" s="34"/>
      <c r="O552" s="32"/>
      <c r="P552" s="31"/>
      <c r="Q552" s="33"/>
      <c r="R552" s="33"/>
      <c r="S552" s="31"/>
      <c r="V552" s="41"/>
      <c r="AA552" s="99"/>
      <c r="AB552" s="99"/>
      <c r="AC552" s="99"/>
      <c r="AD552" s="99"/>
      <c r="AE552" s="99"/>
      <c r="AF552" s="99"/>
      <c r="AG552" s="99"/>
      <c r="AH552" s="99"/>
      <c r="AI552" s="99"/>
      <c r="AJ552" s="99"/>
      <c r="AK552" s="99"/>
      <c r="AL552" s="99"/>
      <c r="AM552" s="99"/>
      <c r="AN552" s="99"/>
      <c r="AO552" s="99"/>
      <c r="AP552" s="99"/>
      <c r="AQ552" s="99"/>
      <c r="AR552" s="99"/>
      <c r="AS552" s="99"/>
      <c r="AT552" s="99"/>
      <c r="AU552" s="99"/>
      <c r="AV552" s="99"/>
      <c r="AW552" s="99"/>
      <c r="AX552" s="99"/>
      <c r="AY552" s="99"/>
      <c r="AZ552" s="99"/>
      <c r="BA552" s="99"/>
      <c r="BB552" s="99"/>
      <c r="BC552" s="99"/>
      <c r="BD552" s="99"/>
      <c r="BE552" s="99"/>
      <c r="BF552" s="99"/>
      <c r="BG552" s="99"/>
      <c r="BH552" s="99"/>
      <c r="BI552" s="99"/>
      <c r="BJ552" s="99"/>
    </row>
    <row r="553" spans="1:62" x14ac:dyDescent="0.3">
      <c r="B553" s="67"/>
      <c r="C553" s="67"/>
      <c r="D553" s="86"/>
      <c r="I553" s="72"/>
      <c r="J553" s="68"/>
      <c r="L553" s="27"/>
      <c r="N553" s="34"/>
      <c r="O553" s="32"/>
      <c r="P553" s="31"/>
      <c r="Q553" s="33"/>
      <c r="R553" s="33"/>
      <c r="S553" s="31"/>
      <c r="AA553" s="99"/>
      <c r="AB553" s="99"/>
      <c r="AC553" s="99"/>
      <c r="AD553" s="99"/>
      <c r="AE553" s="99"/>
      <c r="AF553" s="99"/>
      <c r="AG553" s="99"/>
      <c r="AH553" s="99"/>
      <c r="AI553" s="99"/>
      <c r="AJ553" s="99"/>
      <c r="AK553" s="99"/>
      <c r="AL553" s="99"/>
      <c r="AM553" s="99"/>
      <c r="AN553" s="99"/>
      <c r="AO553" s="99"/>
      <c r="AP553" s="99"/>
      <c r="AQ553" s="99"/>
      <c r="AR553" s="99"/>
      <c r="AS553" s="99"/>
      <c r="AT553" s="99"/>
      <c r="AU553" s="99"/>
      <c r="AV553" s="99"/>
      <c r="AW553" s="99"/>
      <c r="AX553" s="99"/>
      <c r="AY553" s="99"/>
      <c r="AZ553" s="99"/>
      <c r="BA553" s="99"/>
      <c r="BB553" s="99"/>
      <c r="BC553" s="99"/>
      <c r="BD553" s="99"/>
      <c r="BE553" s="99"/>
      <c r="BF553" s="99"/>
      <c r="BG553" s="99"/>
      <c r="BH553" s="99"/>
      <c r="BI553" s="99"/>
      <c r="BJ553" s="99"/>
    </row>
    <row r="554" spans="1:62" x14ac:dyDescent="0.3">
      <c r="A554" s="37"/>
      <c r="B554" s="49" t="str">
        <f>B389</f>
        <v>Maximum Landing Weight Case</v>
      </c>
      <c r="C554" s="30"/>
      <c r="D554" s="30"/>
      <c r="E554" s="30"/>
      <c r="F554" s="30"/>
      <c r="G554" s="30"/>
      <c r="H554" s="30"/>
      <c r="I554" s="30"/>
      <c r="J554" s="30"/>
      <c r="K554" s="30"/>
      <c r="L554" s="27"/>
      <c r="N554" s="34"/>
      <c r="O554" s="32"/>
      <c r="P554" s="31"/>
      <c r="Q554" s="33"/>
      <c r="R554" s="33"/>
      <c r="S554" s="31"/>
    </row>
    <row r="555" spans="1:62" x14ac:dyDescent="0.3">
      <c r="L555" s="27"/>
      <c r="N555" s="34"/>
      <c r="O555" s="32"/>
      <c r="P555" s="31"/>
      <c r="Q555" s="33"/>
      <c r="R555" s="33"/>
      <c r="S555" s="31"/>
      <c r="AA555" s="100"/>
      <c r="AB555" s="100"/>
      <c r="AC555" s="100"/>
      <c r="AD555" s="100"/>
      <c r="AE555" s="100"/>
      <c r="AF555" s="100"/>
      <c r="AG555" s="100"/>
      <c r="AH555" s="100"/>
      <c r="AI555" s="100"/>
      <c r="AJ555" s="100"/>
      <c r="AK555" s="100"/>
      <c r="AL555" s="100"/>
      <c r="AM555" s="100"/>
      <c r="AN555" s="100"/>
      <c r="AO555" s="100"/>
      <c r="AP555" s="100"/>
      <c r="AQ555" s="100"/>
      <c r="AR555" s="100"/>
      <c r="AS555" s="100"/>
      <c r="AT555" s="100"/>
      <c r="AU555" s="100"/>
      <c r="AV555" s="100"/>
      <c r="AW555" s="100"/>
      <c r="AX555" s="100"/>
      <c r="AY555" s="100"/>
      <c r="AZ555" s="100"/>
      <c r="BA555" s="100"/>
      <c r="BB555" s="100"/>
      <c r="BC555" s="100"/>
      <c r="BD555" s="100"/>
      <c r="BE555" s="100"/>
      <c r="BF555" s="100"/>
      <c r="BG555" s="100"/>
      <c r="BH555" s="100"/>
      <c r="BI555" s="100"/>
      <c r="BJ555" s="100"/>
    </row>
    <row r="556" spans="1:62" x14ac:dyDescent="0.3">
      <c r="B556" s="26" t="s">
        <v>89</v>
      </c>
      <c r="F556" s="54"/>
      <c r="G556" s="54"/>
      <c r="L556" s="27"/>
      <c r="N556" s="34"/>
      <c r="O556" s="32"/>
      <c r="P556" s="31"/>
      <c r="Q556" s="33"/>
      <c r="R556" s="33"/>
      <c r="S556" s="31"/>
    </row>
    <row r="557" spans="1:62" ht="15" x14ac:dyDescent="0.35">
      <c r="B557" s="67"/>
      <c r="C557" s="25" t="s">
        <v>143</v>
      </c>
      <c r="D557" s="73">
        <f>E341</f>
        <v>6488.002515210912</v>
      </c>
      <c r="E557" s="27" t="s">
        <v>38</v>
      </c>
      <c r="I557" s="25"/>
      <c r="J557" s="82"/>
      <c r="K557" s="71"/>
      <c r="L557" s="27"/>
      <c r="N557" s="34"/>
      <c r="O557" s="32"/>
      <c r="P557" s="31"/>
      <c r="Q557" s="33"/>
      <c r="R557" s="33"/>
      <c r="S557" s="31"/>
    </row>
    <row r="558" spans="1:62" ht="15" x14ac:dyDescent="0.35">
      <c r="C558" s="25" t="s">
        <v>145</v>
      </c>
      <c r="D558" s="73">
        <f>E343</f>
        <v>2792.425547071462</v>
      </c>
      <c r="E558" s="27" t="s">
        <v>38</v>
      </c>
      <c r="I558" s="72"/>
      <c r="J558" s="68"/>
      <c r="L558" s="27"/>
      <c r="N558" s="34"/>
      <c r="O558" s="32"/>
      <c r="P558" s="31"/>
      <c r="Q558" s="33"/>
      <c r="R558" s="33"/>
      <c r="S558" s="31"/>
    </row>
    <row r="559" spans="1:62" x14ac:dyDescent="0.3">
      <c r="B559" s="25"/>
      <c r="I559" s="67"/>
      <c r="J559" s="73"/>
      <c r="L559" s="27"/>
      <c r="N559" s="34"/>
      <c r="O559" s="32"/>
      <c r="P559" s="31"/>
      <c r="Q559" s="33"/>
      <c r="R559" s="33"/>
      <c r="S559" s="31"/>
    </row>
    <row r="560" spans="1:62" x14ac:dyDescent="0.3">
      <c r="B560" s="26" t="s">
        <v>90</v>
      </c>
      <c r="C560" s="85"/>
      <c r="F560" s="25"/>
      <c r="L560" s="27"/>
      <c r="N560" s="34"/>
      <c r="O560" s="32"/>
      <c r="P560" s="31"/>
      <c r="Q560" s="33"/>
      <c r="R560" s="33"/>
      <c r="S560" s="31"/>
      <c r="V560" s="104"/>
    </row>
    <row r="561" spans="1:26" ht="15" x14ac:dyDescent="0.35">
      <c r="B561" s="67"/>
      <c r="C561" s="25" t="s">
        <v>143</v>
      </c>
      <c r="D561" s="73">
        <f>E391</f>
        <v>9056.6672884147974</v>
      </c>
      <c r="E561" s="27" t="s">
        <v>38</v>
      </c>
      <c r="I561" s="25"/>
      <c r="J561" s="82"/>
      <c r="K561" s="71"/>
      <c r="L561" s="27"/>
      <c r="N561" s="34"/>
      <c r="O561" s="32"/>
      <c r="P561" s="31"/>
      <c r="Q561" s="33"/>
      <c r="R561" s="33"/>
      <c r="S561" s="31"/>
      <c r="V561" s="104"/>
    </row>
    <row r="562" spans="1:26" ht="15" x14ac:dyDescent="0.35">
      <c r="C562" s="25" t="s">
        <v>145</v>
      </c>
      <c r="D562" s="73">
        <f>E393</f>
        <v>3897.9746151768832</v>
      </c>
      <c r="E562" s="27" t="s">
        <v>38</v>
      </c>
      <c r="I562" s="72"/>
      <c r="J562" s="68"/>
      <c r="L562" s="27"/>
      <c r="N562" s="34"/>
      <c r="O562" s="32"/>
      <c r="P562" s="31"/>
      <c r="Q562" s="33"/>
      <c r="R562" s="33"/>
      <c r="S562" s="31"/>
      <c r="V562" s="41"/>
      <c r="Z562" s="56"/>
    </row>
    <row r="563" spans="1:26" x14ac:dyDescent="0.3">
      <c r="O563" s="32"/>
      <c r="P563" s="31"/>
      <c r="Q563" s="33"/>
      <c r="R563" s="33"/>
      <c r="S563" s="31"/>
      <c r="Z563" s="120"/>
    </row>
    <row r="564" spans="1:26" x14ac:dyDescent="0.3">
      <c r="O564" s="32"/>
      <c r="P564" s="31"/>
      <c r="Q564" s="33"/>
      <c r="R564" s="33"/>
      <c r="S564" s="31"/>
      <c r="Z564" s="56"/>
    </row>
    <row r="565" spans="1:26" x14ac:dyDescent="0.3">
      <c r="B565" s="25"/>
      <c r="I565" s="67"/>
      <c r="J565" s="134"/>
      <c r="L565" s="27"/>
      <c r="N565" s="34"/>
      <c r="O565" s="32"/>
      <c r="P565" s="31"/>
      <c r="Q565" s="33"/>
      <c r="R565" s="33"/>
      <c r="S565" s="31"/>
      <c r="V565" s="105"/>
      <c r="W565" s="100"/>
      <c r="X565" s="135"/>
      <c r="Y565" s="126"/>
      <c r="Z565" s="136"/>
    </row>
    <row r="566" spans="1:26" x14ac:dyDescent="0.3">
      <c r="B566" s="25"/>
      <c r="L566" s="27"/>
      <c r="N566" s="34"/>
      <c r="O566" s="32"/>
      <c r="P566" s="31"/>
      <c r="Q566" s="33"/>
      <c r="R566" s="33"/>
      <c r="S566" s="31"/>
    </row>
    <row r="567" spans="1:26" x14ac:dyDescent="0.3">
      <c r="C567" s="25"/>
      <c r="D567" s="82"/>
      <c r="E567" s="71"/>
      <c r="I567" s="25"/>
      <c r="J567" s="82"/>
      <c r="K567" s="71"/>
      <c r="L567" s="27"/>
      <c r="N567" s="34"/>
      <c r="O567" s="32"/>
      <c r="P567" s="31"/>
      <c r="Q567" s="33"/>
      <c r="R567" s="33"/>
      <c r="S567" s="31"/>
      <c r="X567" s="56"/>
      <c r="Y567" s="56"/>
      <c r="Z567" s="56"/>
    </row>
    <row r="568" spans="1:26" x14ac:dyDescent="0.3">
      <c r="B568" s="67"/>
      <c r="C568" s="67"/>
      <c r="D568" s="86"/>
      <c r="I568" s="72"/>
      <c r="J568" s="68"/>
      <c r="L568" s="27"/>
      <c r="N568" s="34"/>
      <c r="O568" s="32"/>
      <c r="P568" s="31"/>
      <c r="Q568" s="33"/>
      <c r="R568" s="33"/>
      <c r="S568" s="31"/>
      <c r="X568" s="56"/>
      <c r="Y568" s="56"/>
      <c r="Z568" s="120"/>
    </row>
    <row r="569" spans="1:26" x14ac:dyDescent="0.3">
      <c r="A569" s="190"/>
      <c r="B569" s="193"/>
      <c r="C569" s="195"/>
      <c r="D569" s="190"/>
      <c r="E569" s="190"/>
      <c r="F569" s="190"/>
      <c r="G569" s="195"/>
      <c r="H569" s="190"/>
      <c r="I569" s="190"/>
      <c r="J569" s="190"/>
      <c r="K569" s="190"/>
      <c r="L569" s="27"/>
      <c r="N569" s="34"/>
      <c r="O569" s="32"/>
      <c r="P569" s="31"/>
      <c r="Q569" s="33"/>
      <c r="R569" s="33"/>
      <c r="S569" s="31"/>
      <c r="X569" s="56"/>
      <c r="Y569" s="56"/>
      <c r="Z569" s="120"/>
    </row>
    <row r="570" spans="1:26" x14ac:dyDescent="0.3">
      <c r="A570" s="190"/>
      <c r="B570" s="196"/>
      <c r="C570" s="195"/>
      <c r="D570" s="197"/>
      <c r="E570" s="197"/>
      <c r="F570" s="198" t="s">
        <v>159</v>
      </c>
      <c r="G570" s="195"/>
      <c r="H570" s="197"/>
      <c r="I570" s="197"/>
      <c r="J570" s="197"/>
      <c r="K570" s="190"/>
      <c r="L570" s="27"/>
      <c r="N570" s="34"/>
      <c r="O570" s="32"/>
      <c r="P570" s="31"/>
      <c r="Q570" s="33"/>
      <c r="R570" s="33"/>
      <c r="S570" s="31"/>
      <c r="X570" s="56"/>
      <c r="Y570" s="56"/>
      <c r="Z570" s="56"/>
    </row>
    <row r="571" spans="1:26" x14ac:dyDescent="0.3">
      <c r="A571" s="190"/>
      <c r="B571" s="197"/>
      <c r="C571" s="197"/>
      <c r="D571" s="197"/>
      <c r="E571" s="197"/>
      <c r="F571" s="199" t="s">
        <v>160</v>
      </c>
      <c r="G571" s="197"/>
      <c r="H571" s="197"/>
      <c r="I571" s="197"/>
      <c r="J571" s="197"/>
      <c r="K571" s="190"/>
      <c r="O571" s="32"/>
      <c r="P571" s="31"/>
      <c r="Q571" s="33"/>
      <c r="R571" s="33"/>
      <c r="S571" s="31"/>
      <c r="X571" s="135"/>
      <c r="Y571" s="126"/>
      <c r="Z571" s="136"/>
    </row>
    <row r="572" spans="1:26" ht="12.75" customHeight="1" x14ac:dyDescent="0.3">
      <c r="A572" s="14"/>
      <c r="B572" s="5"/>
      <c r="C572" s="5"/>
      <c r="D572" s="5"/>
      <c r="E572" s="7" t="s">
        <v>1</v>
      </c>
      <c r="F572" s="8" t="str">
        <f>$C$1</f>
        <v>R. Abbott</v>
      </c>
      <c r="G572" s="5"/>
      <c r="H572" s="15"/>
      <c r="I572" s="7" t="s">
        <v>8</v>
      </c>
      <c r="J572" s="16" t="str">
        <f>$G$2</f>
        <v>AA-SM-503</v>
      </c>
      <c r="K572" s="17"/>
      <c r="L572" s="18"/>
      <c r="M572" s="9"/>
      <c r="N572" s="9"/>
      <c r="O572" s="9"/>
      <c r="P572" s="9"/>
      <c r="Q572" s="33"/>
      <c r="R572" s="33"/>
      <c r="S572" s="31"/>
      <c r="T572" s="30"/>
    </row>
    <row r="573" spans="1:26" x14ac:dyDescent="0.3">
      <c r="A573" s="5"/>
      <c r="B573" s="5"/>
      <c r="C573" s="5"/>
      <c r="D573" s="5"/>
      <c r="E573" s="7" t="s">
        <v>2</v>
      </c>
      <c r="F573" s="15" t="str">
        <f>$C$2</f>
        <v xml:space="preserve"> </v>
      </c>
      <c r="G573" s="5"/>
      <c r="H573" s="15"/>
      <c r="I573" s="7" t="s">
        <v>9</v>
      </c>
      <c r="J573" s="17" t="str">
        <f>$G$3</f>
        <v>IR</v>
      </c>
      <c r="K573" s="17"/>
      <c r="L573" s="18"/>
      <c r="M573" s="9">
        <v>1</v>
      </c>
      <c r="N573" s="9"/>
      <c r="O573" s="9"/>
      <c r="P573" s="9"/>
      <c r="Q573" s="33"/>
      <c r="R573" s="33"/>
      <c r="S573" s="31"/>
      <c r="T573" s="30"/>
    </row>
    <row r="574" spans="1:26" x14ac:dyDescent="0.3">
      <c r="A574" s="5"/>
      <c r="B574" s="5"/>
      <c r="C574" s="5"/>
      <c r="D574" s="5"/>
      <c r="E574" s="7" t="s">
        <v>3</v>
      </c>
      <c r="F574" s="15" t="str">
        <f>$C$3</f>
        <v>20/10/2013</v>
      </c>
      <c r="G574" s="5"/>
      <c r="H574" s="15"/>
      <c r="I574" s="7" t="s">
        <v>6</v>
      </c>
      <c r="J574" s="8" t="str">
        <f>L574&amp;" of "&amp;$G$1</f>
        <v>11 of 15</v>
      </c>
      <c r="K574" s="15"/>
      <c r="L574" s="18">
        <f>SUM($M$1:M573)</f>
        <v>11</v>
      </c>
      <c r="M574" s="9"/>
      <c r="N574" s="9"/>
      <c r="O574" s="9"/>
      <c r="P574" s="9"/>
      <c r="Q574" s="33"/>
      <c r="R574" s="33"/>
      <c r="S574" s="31"/>
      <c r="T574" s="30"/>
    </row>
    <row r="575" spans="1:26" x14ac:dyDescent="0.3">
      <c r="E575" s="7" t="s">
        <v>131</v>
      </c>
      <c r="F575" s="15" t="str">
        <f>$C$5</f>
        <v>STANDARD SPREADSHEET METHOD</v>
      </c>
      <c r="G575" s="5"/>
      <c r="H575" s="5"/>
      <c r="I575" s="19"/>
      <c r="J575" s="8"/>
      <c r="K575" s="5"/>
      <c r="L575" s="5"/>
      <c r="M575" s="9"/>
      <c r="N575" s="9"/>
      <c r="O575" s="9"/>
      <c r="P575" s="9"/>
      <c r="Q575" s="33"/>
      <c r="R575" s="33"/>
      <c r="S575" s="31"/>
      <c r="T575" s="30"/>
    </row>
    <row r="576" spans="1:26" ht="13.5" customHeight="1" x14ac:dyDescent="0.3">
      <c r="A576" s="190"/>
      <c r="B576" s="21" t="str">
        <f>$G$4</f>
        <v>SIMPLE LANDING GEAR LOADS</v>
      </c>
      <c r="C576" s="190"/>
      <c r="D576" s="190"/>
      <c r="E576" s="190"/>
      <c r="F576" s="190"/>
      <c r="G576" s="190"/>
      <c r="H576" s="190"/>
      <c r="I576" s="190"/>
      <c r="J576" s="190"/>
      <c r="K576" s="190"/>
      <c r="L576" s="191"/>
      <c r="M576" s="192"/>
      <c r="N576" s="192"/>
      <c r="O576" s="192"/>
      <c r="P576" s="192"/>
      <c r="Q576" s="33"/>
      <c r="R576" s="33"/>
      <c r="S576" s="31"/>
    </row>
    <row r="577" spans="1:20" x14ac:dyDescent="0.3">
      <c r="A577" s="37"/>
      <c r="B577" s="26" t="s">
        <v>91</v>
      </c>
      <c r="O577" s="32"/>
      <c r="P577" s="31"/>
      <c r="Q577" s="33"/>
      <c r="R577" s="33"/>
      <c r="S577" s="31"/>
    </row>
    <row r="578" spans="1:20" x14ac:dyDescent="0.3">
      <c r="F578" s="54"/>
      <c r="G578" s="54"/>
      <c r="O578" s="32"/>
      <c r="P578" s="31"/>
      <c r="Q578" s="33"/>
      <c r="R578" s="33"/>
      <c r="S578" s="31"/>
      <c r="T578" s="44"/>
    </row>
    <row r="579" spans="1:20" x14ac:dyDescent="0.3">
      <c r="A579" s="37"/>
      <c r="B579" s="49" t="s">
        <v>114</v>
      </c>
      <c r="C579" s="30"/>
      <c r="D579" s="30"/>
      <c r="E579" s="30"/>
      <c r="F579" s="30"/>
      <c r="G579" s="30"/>
      <c r="H579" s="30"/>
      <c r="I579" s="30"/>
      <c r="J579" s="30"/>
      <c r="K579" s="30"/>
      <c r="L579" s="27"/>
      <c r="N579" s="34"/>
      <c r="O579" s="32"/>
      <c r="P579" s="31"/>
      <c r="Q579" s="33"/>
      <c r="R579" s="33"/>
      <c r="S579" s="31"/>
      <c r="T579" s="44"/>
    </row>
    <row r="580" spans="1:20" x14ac:dyDescent="0.3">
      <c r="B580" s="72"/>
      <c r="C580" s="66"/>
      <c r="D580" s="66"/>
      <c r="E580" s="66"/>
      <c r="F580" s="54"/>
      <c r="L580" s="27"/>
      <c r="N580" s="34"/>
      <c r="O580" s="32"/>
      <c r="P580" s="31"/>
      <c r="Q580" s="33"/>
      <c r="R580" s="33"/>
      <c r="S580" s="31"/>
      <c r="T580" s="44"/>
    </row>
    <row r="581" spans="1:20" x14ac:dyDescent="0.3">
      <c r="C581" s="25" t="s">
        <v>37</v>
      </c>
      <c r="D581" s="81">
        <v>5668.65</v>
      </c>
      <c r="E581" s="27" t="s">
        <v>38</v>
      </c>
      <c r="L581" s="27"/>
      <c r="N581" s="34"/>
      <c r="O581" s="32"/>
      <c r="P581" s="31"/>
      <c r="Q581" s="33"/>
      <c r="R581" s="33"/>
      <c r="S581" s="31"/>
      <c r="T581" s="44"/>
    </row>
    <row r="582" spans="1:20" ht="15" x14ac:dyDescent="0.35">
      <c r="C582" s="25" t="s">
        <v>139</v>
      </c>
      <c r="D582" s="73">
        <f>D581*1.33</f>
        <v>7539.3045000000002</v>
      </c>
      <c r="E582" s="27" t="s">
        <v>38</v>
      </c>
      <c r="L582" s="27"/>
      <c r="N582" s="34"/>
      <c r="O582" s="32"/>
      <c r="P582" s="31"/>
      <c r="Q582" s="33"/>
      <c r="R582" s="33"/>
      <c r="S582" s="31"/>
      <c r="T582" s="44"/>
    </row>
    <row r="583" spans="1:20" ht="15" x14ac:dyDescent="0.35">
      <c r="B583" s="72"/>
      <c r="C583" s="25" t="s">
        <v>143</v>
      </c>
      <c r="D583" s="82">
        <f>D582/2</f>
        <v>3769.6522500000001</v>
      </c>
      <c r="E583" s="27" t="s">
        <v>38</v>
      </c>
      <c r="L583" s="27"/>
      <c r="N583" s="34"/>
      <c r="O583" s="32"/>
      <c r="P583" s="31"/>
      <c r="Q583" s="33"/>
      <c r="R583" s="33"/>
      <c r="S583" s="31"/>
      <c r="T583" s="44"/>
    </row>
    <row r="584" spans="1:20" ht="15" x14ac:dyDescent="0.35">
      <c r="B584" s="45"/>
      <c r="C584" s="25" t="s">
        <v>147</v>
      </c>
      <c r="D584" s="137">
        <f>D581*0.5</f>
        <v>2834.3249999999998</v>
      </c>
      <c r="E584" s="27" t="s">
        <v>38</v>
      </c>
      <c r="L584" s="27"/>
      <c r="N584" s="34"/>
      <c r="O584" s="32"/>
      <c r="P584" s="31"/>
      <c r="Q584" s="33"/>
      <c r="R584" s="33"/>
      <c r="S584" s="31"/>
      <c r="T584" s="44"/>
    </row>
    <row r="585" spans="1:20" ht="15" x14ac:dyDescent="0.35">
      <c r="B585" s="45"/>
      <c r="C585" s="25" t="s">
        <v>148</v>
      </c>
      <c r="D585" s="137">
        <f>D581*0.33</f>
        <v>1870.6544999999999</v>
      </c>
      <c r="E585" s="27" t="s">
        <v>38</v>
      </c>
      <c r="L585" s="27"/>
      <c r="N585" s="34"/>
      <c r="O585" s="32"/>
      <c r="P585" s="31"/>
      <c r="Q585" s="33"/>
      <c r="R585" s="33"/>
      <c r="S585" s="31"/>
      <c r="T585" s="44"/>
    </row>
    <row r="586" spans="1:20" x14ac:dyDescent="0.3">
      <c r="B586" s="45"/>
      <c r="C586" s="131"/>
      <c r="F586" s="54"/>
      <c r="L586" s="27"/>
      <c r="N586" s="34"/>
      <c r="O586" s="32"/>
      <c r="P586" s="31"/>
      <c r="Q586" s="33"/>
      <c r="R586" s="33"/>
      <c r="S586" s="31"/>
      <c r="T586" s="44"/>
    </row>
    <row r="587" spans="1:20" x14ac:dyDescent="0.3">
      <c r="A587" s="37"/>
      <c r="B587" s="49" t="s">
        <v>115</v>
      </c>
      <c r="C587" s="30"/>
      <c r="D587" s="30"/>
      <c r="E587" s="30"/>
      <c r="F587" s="30"/>
      <c r="G587" s="30"/>
      <c r="H587" s="30"/>
      <c r="I587" s="30"/>
      <c r="J587" s="30"/>
      <c r="K587" s="30"/>
      <c r="L587" s="27"/>
      <c r="N587" s="34"/>
      <c r="O587" s="32"/>
      <c r="P587" s="31"/>
      <c r="Q587" s="33"/>
      <c r="R587" s="33"/>
      <c r="S587" s="31"/>
      <c r="T587" s="44"/>
    </row>
    <row r="588" spans="1:20" x14ac:dyDescent="0.3">
      <c r="B588" s="72"/>
      <c r="C588" s="66"/>
      <c r="D588" s="66"/>
      <c r="E588" s="66"/>
      <c r="F588" s="54"/>
      <c r="L588" s="27"/>
      <c r="N588" s="34"/>
      <c r="O588" s="32"/>
      <c r="P588" s="31"/>
      <c r="Q588" s="33"/>
      <c r="R588" s="33"/>
      <c r="S588" s="31"/>
      <c r="T588" s="44"/>
    </row>
    <row r="589" spans="1:20" x14ac:dyDescent="0.3">
      <c r="C589" s="25" t="s">
        <v>37</v>
      </c>
      <c r="D589" s="81">
        <v>6968.65</v>
      </c>
      <c r="E589" s="27" t="s">
        <v>38</v>
      </c>
      <c r="L589" s="27"/>
      <c r="N589" s="34"/>
      <c r="O589" s="32"/>
      <c r="P589" s="31"/>
      <c r="Q589" s="33"/>
      <c r="R589" s="33"/>
      <c r="S589" s="31"/>
      <c r="T589" s="44"/>
    </row>
    <row r="590" spans="1:20" ht="15" x14ac:dyDescent="0.35">
      <c r="C590" s="25" t="s">
        <v>139</v>
      </c>
      <c r="D590" s="73">
        <f>D589*1.33</f>
        <v>9268.3045000000002</v>
      </c>
      <c r="E590" s="27" t="s">
        <v>38</v>
      </c>
      <c r="L590" s="27"/>
      <c r="N590" s="34"/>
      <c r="O590" s="32"/>
      <c r="P590" s="31"/>
      <c r="Q590" s="33"/>
      <c r="R590" s="33"/>
      <c r="S590" s="31"/>
      <c r="T590" s="44"/>
    </row>
    <row r="591" spans="1:20" ht="15" x14ac:dyDescent="0.35">
      <c r="B591" s="72"/>
      <c r="C591" s="25" t="s">
        <v>143</v>
      </c>
      <c r="D591" s="82">
        <f>D590/2</f>
        <v>4634.1522500000001</v>
      </c>
      <c r="E591" s="27" t="s">
        <v>38</v>
      </c>
      <c r="L591" s="27"/>
      <c r="N591" s="34"/>
      <c r="O591" s="32"/>
      <c r="P591" s="31"/>
      <c r="Q591" s="33"/>
      <c r="R591" s="33"/>
      <c r="S591" s="31"/>
      <c r="T591" s="44"/>
    </row>
    <row r="592" spans="1:20" ht="15" x14ac:dyDescent="0.35">
      <c r="B592" s="45"/>
      <c r="C592" s="25" t="s">
        <v>147</v>
      </c>
      <c r="D592" s="137">
        <f>D589*0.5</f>
        <v>3484.3249999999998</v>
      </c>
      <c r="E592" s="27" t="s">
        <v>38</v>
      </c>
      <c r="L592" s="27"/>
      <c r="N592" s="34"/>
      <c r="O592" s="32"/>
      <c r="P592" s="31"/>
      <c r="Q592" s="33"/>
      <c r="R592" s="33"/>
      <c r="S592" s="31"/>
      <c r="T592" s="44"/>
    </row>
    <row r="593" spans="1:20" ht="15" x14ac:dyDescent="0.35">
      <c r="B593" s="45"/>
      <c r="C593" s="25" t="s">
        <v>148</v>
      </c>
      <c r="D593" s="137">
        <f>D589*0.33</f>
        <v>2299.6545000000001</v>
      </c>
      <c r="E593" s="27" t="s">
        <v>38</v>
      </c>
      <c r="L593" s="27"/>
      <c r="N593" s="34"/>
      <c r="O593" s="32"/>
      <c r="P593" s="31"/>
      <c r="Q593" s="33"/>
      <c r="R593" s="33"/>
      <c r="S593" s="31"/>
      <c r="T593" s="44"/>
    </row>
    <row r="594" spans="1:20" x14ac:dyDescent="0.3">
      <c r="B594" s="45"/>
      <c r="C594" s="131"/>
      <c r="F594" s="54"/>
      <c r="L594" s="27"/>
      <c r="N594" s="34"/>
      <c r="O594" s="32"/>
      <c r="P594" s="31"/>
      <c r="Q594" s="33"/>
      <c r="R594" s="33"/>
      <c r="S594" s="31"/>
      <c r="T594" s="44"/>
    </row>
    <row r="595" spans="1:20" x14ac:dyDescent="0.3">
      <c r="A595" s="37"/>
      <c r="B595" s="49" t="s">
        <v>116</v>
      </c>
      <c r="C595" s="30"/>
      <c r="D595" s="30"/>
      <c r="E595" s="30"/>
      <c r="F595" s="30"/>
      <c r="G595" s="30"/>
      <c r="H595" s="30"/>
      <c r="I595" s="30"/>
      <c r="J595" s="30"/>
      <c r="K595" s="30"/>
      <c r="L595" s="27"/>
      <c r="N595" s="34"/>
      <c r="O595" s="32"/>
      <c r="P595" s="31"/>
      <c r="Q595" s="33"/>
      <c r="R595" s="33"/>
      <c r="S595" s="31"/>
      <c r="T595" s="44"/>
    </row>
    <row r="596" spans="1:20" x14ac:dyDescent="0.3">
      <c r="A596" s="30"/>
      <c r="B596" s="43"/>
      <c r="C596" s="41"/>
      <c r="D596" s="41"/>
      <c r="E596" s="41"/>
      <c r="F596" s="42"/>
      <c r="G596" s="30"/>
      <c r="H596" s="30"/>
      <c r="I596" s="30"/>
      <c r="J596" s="30"/>
      <c r="K596" s="30"/>
      <c r="L596" s="27"/>
      <c r="N596" s="34"/>
      <c r="O596" s="32"/>
      <c r="P596" s="31"/>
      <c r="Q596" s="33"/>
      <c r="R596" s="33"/>
      <c r="S596" s="31"/>
      <c r="T596" s="44"/>
    </row>
    <row r="597" spans="1:20" x14ac:dyDescent="0.3">
      <c r="A597" s="30"/>
      <c r="B597" s="30"/>
      <c r="C597" s="45" t="s">
        <v>37</v>
      </c>
      <c r="D597" s="94">
        <v>4831.6499999999996</v>
      </c>
      <c r="E597" s="30" t="s">
        <v>38</v>
      </c>
      <c r="F597" s="30"/>
      <c r="G597" s="30"/>
      <c r="H597" s="30"/>
      <c r="I597" s="30"/>
      <c r="J597" s="30"/>
      <c r="K597" s="30"/>
      <c r="L597" s="27"/>
      <c r="N597" s="34"/>
      <c r="O597" s="32"/>
      <c r="P597" s="31"/>
      <c r="Q597" s="33"/>
      <c r="R597" s="33"/>
      <c r="S597" s="31"/>
      <c r="T597" s="44"/>
    </row>
    <row r="598" spans="1:20" ht="15" x14ac:dyDescent="0.35">
      <c r="A598" s="30"/>
      <c r="B598" s="30"/>
      <c r="C598" s="45" t="s">
        <v>139</v>
      </c>
      <c r="D598" s="79">
        <f>D597*1.33</f>
        <v>6426.0945000000002</v>
      </c>
      <c r="E598" s="30" t="s">
        <v>38</v>
      </c>
      <c r="F598" s="30"/>
      <c r="G598" s="30"/>
      <c r="H598" s="30"/>
      <c r="I598" s="30"/>
      <c r="J598" s="30"/>
      <c r="K598" s="30"/>
      <c r="L598" s="27"/>
      <c r="N598" s="34"/>
      <c r="O598" s="32"/>
      <c r="P598" s="31"/>
      <c r="Q598" s="33"/>
      <c r="R598" s="33"/>
      <c r="S598" s="31"/>
      <c r="T598" s="44"/>
    </row>
    <row r="599" spans="1:20" ht="15" x14ac:dyDescent="0.35">
      <c r="A599" s="30"/>
      <c r="B599" s="43"/>
      <c r="C599" s="45" t="s">
        <v>143</v>
      </c>
      <c r="D599" s="88">
        <f>D598/2</f>
        <v>3213.0472500000001</v>
      </c>
      <c r="E599" s="30" t="s">
        <v>38</v>
      </c>
      <c r="F599" s="30"/>
      <c r="G599" s="30"/>
      <c r="H599" s="30"/>
      <c r="I599" s="30"/>
      <c r="J599" s="30"/>
      <c r="K599" s="30"/>
      <c r="L599" s="27"/>
      <c r="N599" s="34"/>
      <c r="O599" s="32"/>
      <c r="P599" s="31"/>
      <c r="Q599" s="33"/>
      <c r="R599" s="33"/>
      <c r="S599" s="31"/>
      <c r="T599" s="44"/>
    </row>
    <row r="600" spans="1:20" ht="15" x14ac:dyDescent="0.35">
      <c r="A600" s="30"/>
      <c r="B600" s="45"/>
      <c r="C600" s="45" t="s">
        <v>147</v>
      </c>
      <c r="D600" s="116">
        <f>D597*0.5</f>
        <v>2415.8249999999998</v>
      </c>
      <c r="E600" s="30" t="s">
        <v>38</v>
      </c>
      <c r="F600" s="30"/>
      <c r="G600" s="30"/>
      <c r="H600" s="30"/>
      <c r="I600" s="30"/>
      <c r="J600" s="30"/>
      <c r="K600" s="30"/>
      <c r="L600" s="27"/>
      <c r="N600" s="34"/>
      <c r="O600" s="32"/>
      <c r="P600" s="31"/>
      <c r="Q600" s="33"/>
      <c r="R600" s="33"/>
      <c r="S600" s="31"/>
      <c r="T600" s="44"/>
    </row>
    <row r="601" spans="1:20" ht="15" x14ac:dyDescent="0.35">
      <c r="A601" s="30"/>
      <c r="B601" s="45"/>
      <c r="C601" s="45" t="s">
        <v>148</v>
      </c>
      <c r="D601" s="116">
        <f>D597*0.33</f>
        <v>1594.4445000000001</v>
      </c>
      <c r="E601" s="30" t="s">
        <v>38</v>
      </c>
      <c r="F601" s="30"/>
      <c r="G601" s="30"/>
      <c r="H601" s="30"/>
      <c r="I601" s="30"/>
      <c r="J601" s="30"/>
      <c r="K601" s="30"/>
      <c r="L601" s="27"/>
      <c r="N601" s="34"/>
      <c r="O601" s="32"/>
      <c r="P601" s="31"/>
      <c r="Q601" s="33"/>
      <c r="R601" s="33"/>
      <c r="S601" s="31"/>
      <c r="T601" s="44"/>
    </row>
    <row r="602" spans="1:20" x14ac:dyDescent="0.3">
      <c r="A602" s="30"/>
      <c r="B602" s="45"/>
      <c r="C602" s="46"/>
      <c r="D602" s="30"/>
      <c r="E602" s="30"/>
      <c r="F602" s="42"/>
      <c r="G602" s="30"/>
      <c r="H602" s="30"/>
      <c r="I602" s="30"/>
      <c r="J602" s="30"/>
      <c r="K602" s="30"/>
      <c r="L602" s="27"/>
      <c r="N602" s="34"/>
      <c r="O602" s="32"/>
      <c r="P602" s="31"/>
      <c r="Q602" s="33"/>
      <c r="R602" s="33"/>
      <c r="S602" s="31"/>
      <c r="T602" s="44"/>
    </row>
    <row r="603" spans="1:20" x14ac:dyDescent="0.3">
      <c r="A603" s="37"/>
      <c r="B603" s="49" t="s">
        <v>117</v>
      </c>
      <c r="C603" s="30"/>
      <c r="D603" s="30"/>
      <c r="E603" s="30"/>
      <c r="F603" s="30"/>
      <c r="G603" s="30"/>
      <c r="H603" s="30"/>
      <c r="I603" s="30"/>
      <c r="J603" s="30"/>
      <c r="K603" s="30"/>
      <c r="L603" s="27"/>
      <c r="N603" s="34"/>
      <c r="O603" s="32"/>
      <c r="P603" s="31"/>
      <c r="Q603" s="33"/>
      <c r="R603" s="33"/>
      <c r="S603" s="31"/>
      <c r="T603" s="44"/>
    </row>
    <row r="604" spans="1:20" x14ac:dyDescent="0.3">
      <c r="A604" s="30"/>
      <c r="B604" s="43"/>
      <c r="C604" s="41"/>
      <c r="D604" s="41"/>
      <c r="E604" s="41"/>
      <c r="F604" s="42"/>
      <c r="G604" s="30"/>
      <c r="H604" s="30"/>
      <c r="I604" s="30"/>
      <c r="J604" s="30"/>
      <c r="K604" s="30"/>
      <c r="L604" s="27"/>
      <c r="N604" s="34"/>
      <c r="O604" s="32"/>
      <c r="P604" s="31"/>
      <c r="Q604" s="33"/>
      <c r="R604" s="33"/>
      <c r="S604" s="31"/>
      <c r="T604" s="44"/>
    </row>
    <row r="605" spans="1:20" x14ac:dyDescent="0.3">
      <c r="A605" s="30"/>
      <c r="B605" s="30"/>
      <c r="C605" s="45" t="s">
        <v>37</v>
      </c>
      <c r="D605" s="94">
        <v>7084.5024999999996</v>
      </c>
      <c r="E605" s="30" t="s">
        <v>38</v>
      </c>
      <c r="F605" s="30"/>
      <c r="G605" s="30"/>
      <c r="H605" s="30"/>
      <c r="I605" s="30"/>
      <c r="J605" s="30"/>
      <c r="K605" s="30"/>
      <c r="L605" s="27"/>
      <c r="N605" s="34"/>
      <c r="O605" s="32"/>
      <c r="P605" s="31"/>
      <c r="Q605" s="33"/>
      <c r="R605" s="33"/>
      <c r="S605" s="31"/>
      <c r="T605" s="44"/>
    </row>
    <row r="606" spans="1:20" ht="15" x14ac:dyDescent="0.35">
      <c r="A606" s="30"/>
      <c r="B606" s="30"/>
      <c r="C606" s="45" t="s">
        <v>139</v>
      </c>
      <c r="D606" s="79">
        <f>D605*1.33</f>
        <v>9422.3883249999999</v>
      </c>
      <c r="E606" s="30" t="s">
        <v>38</v>
      </c>
      <c r="F606" s="30"/>
      <c r="G606" s="30"/>
      <c r="H606" s="30"/>
      <c r="I606" s="30"/>
      <c r="J606" s="30"/>
      <c r="K606" s="30"/>
      <c r="L606" s="27"/>
      <c r="N606" s="34"/>
      <c r="O606" s="32"/>
      <c r="P606" s="31"/>
      <c r="Q606" s="33"/>
      <c r="R606" s="33"/>
      <c r="S606" s="31"/>
      <c r="T606" s="44"/>
    </row>
    <row r="607" spans="1:20" ht="15" x14ac:dyDescent="0.35">
      <c r="A607" s="30"/>
      <c r="B607" s="43"/>
      <c r="C607" s="45" t="s">
        <v>143</v>
      </c>
      <c r="D607" s="88">
        <f>D606/2</f>
        <v>4711.1941624999999</v>
      </c>
      <c r="E607" s="30" t="s">
        <v>38</v>
      </c>
      <c r="F607" s="30"/>
      <c r="G607" s="30"/>
      <c r="H607" s="30"/>
      <c r="I607" s="30"/>
      <c r="J607" s="30"/>
      <c r="K607" s="30"/>
      <c r="L607" s="27"/>
      <c r="N607" s="34"/>
      <c r="O607" s="32"/>
      <c r="P607" s="31"/>
      <c r="Q607" s="33"/>
      <c r="R607" s="33"/>
      <c r="S607" s="31"/>
      <c r="T607" s="44"/>
    </row>
    <row r="608" spans="1:20" ht="15" x14ac:dyDescent="0.35">
      <c r="A608" s="30"/>
      <c r="B608" s="45"/>
      <c r="C608" s="45" t="s">
        <v>147</v>
      </c>
      <c r="D608" s="116">
        <f>D605*0.5</f>
        <v>3542.2512499999998</v>
      </c>
      <c r="E608" s="30" t="s">
        <v>38</v>
      </c>
      <c r="F608" s="30"/>
      <c r="G608" s="30"/>
      <c r="H608" s="30"/>
      <c r="I608" s="30"/>
      <c r="J608" s="30"/>
      <c r="K608" s="30"/>
      <c r="L608" s="27"/>
      <c r="N608" s="34"/>
      <c r="O608" s="32"/>
      <c r="P608" s="31"/>
      <c r="Q608" s="33"/>
      <c r="R608" s="33"/>
      <c r="S608" s="31"/>
      <c r="T608" s="44"/>
    </row>
    <row r="609" spans="1:20" ht="15" x14ac:dyDescent="0.35">
      <c r="A609" s="30"/>
      <c r="B609" s="45"/>
      <c r="C609" s="45" t="s">
        <v>148</v>
      </c>
      <c r="D609" s="116">
        <f>D605*0.33</f>
        <v>2337.8858249999998</v>
      </c>
      <c r="E609" s="30" t="s">
        <v>38</v>
      </c>
      <c r="F609" s="30"/>
      <c r="G609" s="30"/>
      <c r="H609" s="30"/>
      <c r="I609" s="30"/>
      <c r="J609" s="30"/>
      <c r="K609" s="30"/>
      <c r="L609" s="27"/>
      <c r="N609" s="34"/>
      <c r="O609" s="32"/>
      <c r="P609" s="31"/>
      <c r="Q609" s="33"/>
      <c r="R609" s="33"/>
      <c r="S609" s="31"/>
      <c r="T609" s="44"/>
    </row>
    <row r="610" spans="1:20" x14ac:dyDescent="0.3">
      <c r="A610" s="30"/>
      <c r="B610" s="45"/>
      <c r="C610" s="46"/>
      <c r="D610" s="30"/>
      <c r="E610" s="30"/>
      <c r="F610" s="42"/>
      <c r="G610" s="30"/>
      <c r="H610" s="30"/>
      <c r="I610" s="30"/>
      <c r="J610" s="30"/>
      <c r="K610" s="30"/>
      <c r="L610" s="27"/>
      <c r="N610" s="34"/>
      <c r="O610" s="32"/>
      <c r="P610" s="31"/>
      <c r="Q610" s="33"/>
      <c r="R610" s="33"/>
      <c r="S610" s="31"/>
      <c r="T610" s="44"/>
    </row>
    <row r="611" spans="1:20" x14ac:dyDescent="0.3">
      <c r="A611" s="30"/>
      <c r="B611" s="45"/>
      <c r="C611" s="95"/>
      <c r="D611" s="30"/>
      <c r="E611" s="30"/>
      <c r="F611" s="30"/>
      <c r="G611" s="30"/>
      <c r="H611" s="30"/>
      <c r="I611" s="30"/>
      <c r="J611" s="30"/>
      <c r="K611" s="30"/>
      <c r="O611" s="32"/>
      <c r="P611" s="31"/>
      <c r="Q611" s="33"/>
      <c r="R611" s="33"/>
      <c r="S611" s="31"/>
      <c r="T611" s="44"/>
    </row>
    <row r="612" spans="1:20" x14ac:dyDescent="0.3">
      <c r="A612" s="30"/>
      <c r="B612" s="45"/>
      <c r="C612" s="30"/>
      <c r="D612" s="30"/>
      <c r="E612" s="30"/>
      <c r="F612" s="30"/>
      <c r="G612" s="30"/>
      <c r="H612" s="30"/>
      <c r="I612" s="30"/>
      <c r="J612" s="30"/>
      <c r="K612" s="30"/>
      <c r="O612" s="32"/>
      <c r="P612" s="31"/>
      <c r="Q612" s="33"/>
      <c r="R612" s="33"/>
      <c r="S612" s="31"/>
      <c r="T612" s="44"/>
    </row>
    <row r="613" spans="1:20" x14ac:dyDescent="0.3">
      <c r="A613" s="30"/>
      <c r="B613" s="45"/>
      <c r="C613" s="30"/>
      <c r="D613" s="30"/>
      <c r="E613" s="30"/>
      <c r="F613" s="30"/>
      <c r="G613" s="30"/>
      <c r="H613" s="30"/>
      <c r="I613" s="30"/>
      <c r="J613" s="30"/>
      <c r="K613" s="30"/>
      <c r="O613" s="32"/>
      <c r="P613" s="31"/>
      <c r="Q613" s="33"/>
      <c r="R613" s="33"/>
      <c r="S613" s="31"/>
      <c r="T613" s="44"/>
    </row>
    <row r="614" spans="1:20" x14ac:dyDescent="0.3">
      <c r="A614" s="30"/>
      <c r="B614" s="45"/>
      <c r="C614" s="47"/>
      <c r="D614" s="30"/>
      <c r="E614" s="30"/>
      <c r="F614" s="30"/>
      <c r="G614" s="30"/>
      <c r="H614" s="30"/>
      <c r="I614" s="30"/>
      <c r="J614" s="30"/>
      <c r="K614" s="30"/>
      <c r="O614" s="32"/>
      <c r="P614" s="31"/>
      <c r="Q614" s="33"/>
      <c r="R614" s="33"/>
      <c r="S614" s="31"/>
      <c r="T614" s="44"/>
    </row>
    <row r="615" spans="1:20" x14ac:dyDescent="0.3">
      <c r="A615" s="30"/>
      <c r="B615" s="45"/>
      <c r="C615" s="45"/>
      <c r="D615" s="138"/>
      <c r="E615" s="30"/>
      <c r="F615" s="30"/>
      <c r="G615" s="30"/>
      <c r="H615" s="30"/>
      <c r="I615" s="30"/>
      <c r="J615" s="30"/>
      <c r="K615" s="30"/>
      <c r="O615" s="32"/>
      <c r="P615" s="31"/>
      <c r="Q615" s="33"/>
      <c r="R615" s="33"/>
      <c r="S615" s="31"/>
      <c r="T615" s="44"/>
    </row>
    <row r="616" spans="1:20" x14ac:dyDescent="0.3">
      <c r="A616" s="30"/>
      <c r="B616" s="45"/>
      <c r="C616" s="45"/>
      <c r="D616" s="138"/>
      <c r="E616" s="30"/>
      <c r="F616" s="30"/>
      <c r="G616" s="30"/>
      <c r="H616" s="30"/>
      <c r="I616" s="30"/>
      <c r="J616" s="30"/>
      <c r="K616" s="30"/>
      <c r="O616" s="32"/>
      <c r="P616" s="31"/>
      <c r="Q616" s="33"/>
      <c r="R616" s="33"/>
      <c r="S616" s="31"/>
      <c r="T616" s="44"/>
    </row>
    <row r="617" spans="1:20" x14ac:dyDescent="0.3">
      <c r="A617" s="30"/>
      <c r="B617" s="45"/>
      <c r="C617" s="45"/>
      <c r="D617" s="138"/>
      <c r="E617" s="30"/>
      <c r="F617" s="30"/>
      <c r="G617" s="30"/>
      <c r="H617" s="30"/>
      <c r="I617" s="30"/>
      <c r="J617" s="30"/>
      <c r="K617" s="30"/>
      <c r="O617" s="32"/>
      <c r="P617" s="31"/>
      <c r="Q617" s="33"/>
      <c r="R617" s="33"/>
      <c r="S617" s="31"/>
      <c r="T617" s="44"/>
    </row>
    <row r="618" spans="1:20" x14ac:dyDescent="0.3">
      <c r="A618" s="30"/>
      <c r="B618" s="45"/>
      <c r="C618" s="45"/>
      <c r="D618" s="138"/>
      <c r="E618" s="30"/>
      <c r="F618" s="30"/>
      <c r="G618" s="30"/>
      <c r="H618" s="30"/>
      <c r="I618" s="30"/>
      <c r="J618" s="30"/>
      <c r="K618" s="30"/>
      <c r="O618" s="32"/>
      <c r="P618" s="31"/>
      <c r="Q618" s="33"/>
      <c r="R618" s="33"/>
      <c r="S618" s="31"/>
      <c r="T618" s="44"/>
    </row>
    <row r="619" spans="1:20" x14ac:dyDescent="0.3">
      <c r="A619" s="30"/>
      <c r="B619" s="45"/>
      <c r="C619" s="45"/>
      <c r="D619" s="138"/>
      <c r="E619" s="30"/>
      <c r="F619" s="30"/>
      <c r="G619" s="30"/>
      <c r="H619" s="30"/>
      <c r="I619" s="30"/>
      <c r="J619" s="30"/>
      <c r="K619" s="30"/>
      <c r="O619" s="32"/>
      <c r="P619" s="31"/>
      <c r="Q619" s="33"/>
      <c r="R619" s="33"/>
      <c r="S619" s="31"/>
      <c r="T619" s="44"/>
    </row>
    <row r="620" spans="1:20" x14ac:dyDescent="0.3">
      <c r="A620" s="30"/>
      <c r="B620" s="45"/>
      <c r="C620" s="45"/>
      <c r="D620" s="138"/>
      <c r="E620" s="30"/>
      <c r="F620" s="30"/>
      <c r="G620" s="30"/>
      <c r="H620" s="30"/>
      <c r="I620" s="30"/>
      <c r="J620" s="30"/>
      <c r="K620" s="30"/>
      <c r="O620" s="32"/>
      <c r="P620" s="31"/>
      <c r="Q620" s="33"/>
      <c r="R620" s="33"/>
      <c r="S620" s="31"/>
      <c r="T620" s="44"/>
    </row>
    <row r="621" spans="1:20" x14ac:dyDescent="0.3">
      <c r="A621" s="30"/>
      <c r="B621" s="45"/>
      <c r="C621" s="45"/>
      <c r="D621" s="138"/>
      <c r="E621" s="30"/>
      <c r="F621" s="30"/>
      <c r="G621" s="30"/>
      <c r="H621" s="30"/>
      <c r="I621" s="30"/>
      <c r="J621" s="30"/>
      <c r="K621" s="30"/>
      <c r="O621" s="32"/>
      <c r="P621" s="31"/>
      <c r="Q621" s="33"/>
      <c r="R621" s="33"/>
      <c r="S621" s="31"/>
      <c r="T621" s="44"/>
    </row>
    <row r="622" spans="1:20" x14ac:dyDescent="0.3">
      <c r="A622" s="30"/>
      <c r="B622" s="45"/>
      <c r="C622" s="45"/>
      <c r="D622" s="138"/>
      <c r="E622" s="30"/>
      <c r="F622" s="30"/>
      <c r="G622" s="30"/>
      <c r="H622" s="30"/>
      <c r="I622" s="30"/>
      <c r="J622" s="30"/>
      <c r="K622" s="30"/>
      <c r="O622" s="32"/>
      <c r="P622" s="31"/>
      <c r="Q622" s="33"/>
      <c r="R622" s="33"/>
      <c r="S622" s="31"/>
      <c r="T622" s="44"/>
    </row>
    <row r="623" spans="1:20" x14ac:dyDescent="0.3">
      <c r="A623" s="30"/>
      <c r="B623" s="45"/>
      <c r="C623" s="30"/>
      <c r="D623" s="30"/>
      <c r="E623" s="30"/>
      <c r="F623" s="42"/>
      <c r="G623" s="30"/>
      <c r="H623" s="30"/>
      <c r="I623" s="30"/>
      <c r="J623" s="30"/>
      <c r="K623" s="30"/>
      <c r="O623" s="32"/>
      <c r="P623" s="31"/>
      <c r="Q623" s="33"/>
      <c r="R623" s="33"/>
      <c r="S623" s="31"/>
      <c r="T623" s="44"/>
    </row>
    <row r="624" spans="1:20" x14ac:dyDescent="0.3">
      <c r="A624" s="190"/>
      <c r="B624" s="193"/>
      <c r="C624" s="195"/>
      <c r="D624" s="190"/>
      <c r="E624" s="190"/>
      <c r="F624" s="190"/>
      <c r="G624" s="195"/>
      <c r="H624" s="190"/>
      <c r="I624" s="190"/>
      <c r="J624" s="190"/>
      <c r="K624" s="190"/>
      <c r="O624" s="32"/>
      <c r="P624" s="31"/>
      <c r="Q624" s="33"/>
      <c r="R624" s="33"/>
      <c r="S624" s="31"/>
      <c r="T624" s="44"/>
    </row>
    <row r="625" spans="1:20" x14ac:dyDescent="0.3">
      <c r="A625" s="190"/>
      <c r="B625" s="196"/>
      <c r="C625" s="195"/>
      <c r="D625" s="197"/>
      <c r="E625" s="197"/>
      <c r="F625" s="198" t="s">
        <v>159</v>
      </c>
      <c r="G625" s="195"/>
      <c r="H625" s="197"/>
      <c r="I625" s="197"/>
      <c r="J625" s="197"/>
      <c r="K625" s="190"/>
      <c r="O625" s="32"/>
      <c r="P625" s="31"/>
      <c r="Q625" s="33"/>
      <c r="R625" s="33"/>
      <c r="S625" s="31"/>
      <c r="T625" s="44"/>
    </row>
    <row r="626" spans="1:20" x14ac:dyDescent="0.3">
      <c r="A626" s="190"/>
      <c r="B626" s="197"/>
      <c r="C626" s="197"/>
      <c r="D626" s="197"/>
      <c r="E626" s="197"/>
      <c r="F626" s="199" t="s">
        <v>160</v>
      </c>
      <c r="G626" s="197"/>
      <c r="H626" s="197"/>
      <c r="I626" s="197"/>
      <c r="J626" s="197"/>
      <c r="K626" s="190"/>
      <c r="O626" s="32"/>
      <c r="P626" s="31"/>
      <c r="Q626" s="33"/>
      <c r="R626" s="33"/>
      <c r="S626" s="31"/>
      <c r="T626" s="44"/>
    </row>
    <row r="627" spans="1:20" x14ac:dyDescent="0.3">
      <c r="A627" s="14"/>
      <c r="B627" s="5"/>
      <c r="C627" s="5"/>
      <c r="D627" s="5"/>
      <c r="E627" s="7" t="s">
        <v>1</v>
      </c>
      <c r="F627" s="8" t="str">
        <f>$C$1</f>
        <v>R. Abbott</v>
      </c>
      <c r="G627" s="5"/>
      <c r="H627" s="15"/>
      <c r="I627" s="7" t="s">
        <v>8</v>
      </c>
      <c r="J627" s="16" t="str">
        <f>$G$2</f>
        <v>AA-SM-503</v>
      </c>
      <c r="K627" s="17"/>
      <c r="L627" s="18"/>
      <c r="M627" s="9"/>
      <c r="N627" s="9"/>
      <c r="O627" s="9"/>
      <c r="P627" s="9"/>
      <c r="Q627" s="33"/>
      <c r="R627" s="33"/>
      <c r="S627" s="31"/>
      <c r="T627" s="44"/>
    </row>
    <row r="628" spans="1:20" x14ac:dyDescent="0.3">
      <c r="A628" s="5"/>
      <c r="B628" s="5"/>
      <c r="C628" s="5"/>
      <c r="D628" s="5"/>
      <c r="E628" s="7" t="s">
        <v>2</v>
      </c>
      <c r="F628" s="15" t="str">
        <f>$C$2</f>
        <v xml:space="preserve"> </v>
      </c>
      <c r="G628" s="5"/>
      <c r="H628" s="15"/>
      <c r="I628" s="7" t="s">
        <v>9</v>
      </c>
      <c r="J628" s="17" t="str">
        <f>$G$3</f>
        <v>IR</v>
      </c>
      <c r="K628" s="17"/>
      <c r="L628" s="18"/>
      <c r="M628" s="9">
        <v>1</v>
      </c>
      <c r="N628" s="9"/>
      <c r="O628" s="9"/>
      <c r="P628" s="9"/>
      <c r="Q628" s="33"/>
      <c r="R628" s="33"/>
      <c r="S628" s="31"/>
    </row>
    <row r="629" spans="1:20" x14ac:dyDescent="0.3">
      <c r="A629" s="5"/>
      <c r="B629" s="5"/>
      <c r="C629" s="5"/>
      <c r="D629" s="5"/>
      <c r="E629" s="7" t="s">
        <v>3</v>
      </c>
      <c r="F629" s="15" t="str">
        <f>$C$3</f>
        <v>20/10/2013</v>
      </c>
      <c r="G629" s="5"/>
      <c r="H629" s="15"/>
      <c r="I629" s="7" t="s">
        <v>6</v>
      </c>
      <c r="J629" s="8" t="str">
        <f>L629&amp;" of "&amp;$G$1</f>
        <v>12 of 15</v>
      </c>
      <c r="K629" s="15"/>
      <c r="L629" s="18">
        <f>SUM($M$1:M628)</f>
        <v>12</v>
      </c>
      <c r="M629" s="9"/>
      <c r="N629" s="9"/>
      <c r="O629" s="9"/>
      <c r="P629" s="9"/>
      <c r="Q629" s="33"/>
      <c r="R629" s="33"/>
      <c r="S629" s="31"/>
    </row>
    <row r="630" spans="1:20" x14ac:dyDescent="0.3">
      <c r="E630" s="7" t="s">
        <v>131</v>
      </c>
      <c r="F630" s="15" t="str">
        <f>$C$5</f>
        <v>STANDARD SPREADSHEET METHOD</v>
      </c>
      <c r="G630" s="5"/>
      <c r="H630" s="5"/>
      <c r="I630" s="19"/>
      <c r="J630" s="8"/>
      <c r="K630" s="5"/>
      <c r="L630" s="5"/>
      <c r="M630" s="9"/>
      <c r="N630" s="9"/>
      <c r="O630" s="9"/>
      <c r="P630" s="9"/>
      <c r="Q630" s="33"/>
      <c r="R630" s="33"/>
      <c r="S630" s="31"/>
    </row>
    <row r="631" spans="1:20" ht="13.5" customHeight="1" x14ac:dyDescent="0.3">
      <c r="A631" s="190"/>
      <c r="B631" s="21" t="str">
        <f>$G$4</f>
        <v>SIMPLE LANDING GEAR LOADS</v>
      </c>
      <c r="C631" s="190"/>
      <c r="D631" s="190"/>
      <c r="E631" s="190"/>
      <c r="F631" s="190"/>
      <c r="G631" s="190"/>
      <c r="H631" s="190"/>
      <c r="I631" s="190"/>
      <c r="J631" s="190"/>
      <c r="K631" s="190"/>
      <c r="L631" s="191"/>
      <c r="M631" s="192"/>
      <c r="N631" s="192"/>
      <c r="O631" s="192"/>
      <c r="P631" s="192"/>
      <c r="Q631" s="33"/>
      <c r="R631" s="33"/>
      <c r="S631" s="31"/>
    </row>
    <row r="632" spans="1:20" x14ac:dyDescent="0.3">
      <c r="A632" s="37"/>
      <c r="B632" s="26" t="s">
        <v>92</v>
      </c>
      <c r="O632" s="32"/>
      <c r="P632" s="31"/>
      <c r="Q632" s="33"/>
      <c r="R632" s="33"/>
      <c r="S632" s="31"/>
    </row>
    <row r="633" spans="1:20" x14ac:dyDescent="0.3">
      <c r="F633" s="54"/>
      <c r="G633" s="54"/>
      <c r="O633" s="32"/>
      <c r="P633" s="31"/>
      <c r="Q633" s="33"/>
      <c r="R633" s="33"/>
      <c r="S633" s="31"/>
    </row>
    <row r="634" spans="1:20" x14ac:dyDescent="0.3">
      <c r="A634" s="37"/>
      <c r="B634" s="49" t="s">
        <v>114</v>
      </c>
      <c r="C634" s="30"/>
      <c r="D634" s="30"/>
      <c r="E634" s="30"/>
      <c r="F634" s="30"/>
      <c r="G634" s="30"/>
      <c r="H634" s="30"/>
      <c r="I634" s="30"/>
      <c r="J634" s="30"/>
      <c r="K634" s="30"/>
      <c r="L634" s="27"/>
      <c r="N634" s="34"/>
      <c r="O634" s="32"/>
      <c r="P634" s="31"/>
      <c r="Q634" s="33"/>
      <c r="R634" s="33"/>
      <c r="S634" s="31"/>
    </row>
    <row r="635" spans="1:20" x14ac:dyDescent="0.3">
      <c r="B635" s="72"/>
      <c r="C635" s="66"/>
      <c r="D635" s="66"/>
      <c r="E635" s="66"/>
      <c r="F635" s="54"/>
      <c r="L635" s="27"/>
      <c r="N635" s="34"/>
      <c r="O635" s="32"/>
      <c r="P635" s="31"/>
      <c r="Q635" s="33"/>
      <c r="R635" s="33"/>
      <c r="S635" s="31"/>
    </row>
    <row r="636" spans="1:20" x14ac:dyDescent="0.3">
      <c r="B636" s="72"/>
      <c r="D636" s="25" t="s">
        <v>37</v>
      </c>
      <c r="E636" s="81">
        <v>5668.65</v>
      </c>
      <c r="F636" s="27" t="s">
        <v>38</v>
      </c>
      <c r="L636" s="27"/>
      <c r="N636" s="34"/>
      <c r="O636" s="32"/>
      <c r="P636" s="31"/>
      <c r="Q636" s="33"/>
      <c r="R636" s="33"/>
      <c r="S636" s="31"/>
    </row>
    <row r="637" spans="1:20" ht="15" x14ac:dyDescent="0.35">
      <c r="B637" s="72"/>
      <c r="D637" s="25" t="s">
        <v>139</v>
      </c>
      <c r="E637" s="73">
        <f>E636*1.33</f>
        <v>7539.3045000000002</v>
      </c>
      <c r="F637" s="27" t="s">
        <v>38</v>
      </c>
      <c r="L637" s="27"/>
      <c r="N637" s="34"/>
      <c r="O637" s="32"/>
      <c r="P637" s="31"/>
      <c r="Q637" s="33"/>
      <c r="R637" s="33"/>
      <c r="S637" s="31"/>
    </row>
    <row r="638" spans="1:20" ht="15" x14ac:dyDescent="0.35">
      <c r="B638" s="72"/>
      <c r="D638" s="25" t="s">
        <v>143</v>
      </c>
      <c r="E638" s="82">
        <f>E637/2</f>
        <v>3769.6522500000001</v>
      </c>
      <c r="F638" s="27" t="s">
        <v>38</v>
      </c>
      <c r="L638" s="27"/>
      <c r="N638" s="34"/>
      <c r="O638" s="32"/>
      <c r="P638" s="31"/>
      <c r="Q638" s="33"/>
      <c r="R638" s="33"/>
      <c r="S638" s="31"/>
    </row>
    <row r="639" spans="1:20" ht="15" x14ac:dyDescent="0.35">
      <c r="B639" s="45"/>
      <c r="C639" s="131"/>
      <c r="D639" s="25" t="s">
        <v>145</v>
      </c>
      <c r="E639" s="82">
        <f>E638*0.8</f>
        <v>3015.7218000000003</v>
      </c>
      <c r="F639" s="27" t="s">
        <v>38</v>
      </c>
      <c r="L639" s="27"/>
      <c r="N639" s="34"/>
      <c r="O639" s="32"/>
      <c r="P639" s="31"/>
      <c r="Q639" s="33"/>
      <c r="R639" s="33"/>
      <c r="S639" s="31"/>
    </row>
    <row r="640" spans="1:20" x14ac:dyDescent="0.3">
      <c r="B640" s="45"/>
      <c r="C640" s="131"/>
      <c r="E640" s="82"/>
      <c r="L640" s="27"/>
      <c r="N640" s="34"/>
      <c r="O640" s="32"/>
      <c r="P640" s="31"/>
      <c r="Q640" s="33"/>
      <c r="R640" s="33"/>
      <c r="S640" s="31"/>
    </row>
    <row r="641" spans="1:20" x14ac:dyDescent="0.3">
      <c r="A641" s="37"/>
      <c r="B641" s="49" t="s">
        <v>115</v>
      </c>
      <c r="C641" s="30"/>
      <c r="D641" s="30"/>
      <c r="E641" s="88"/>
      <c r="F641" s="30"/>
      <c r="G641" s="30"/>
      <c r="H641" s="30"/>
      <c r="I641" s="30"/>
      <c r="J641" s="30"/>
      <c r="K641" s="30"/>
      <c r="L641" s="27"/>
      <c r="N641" s="34"/>
      <c r="O641" s="32"/>
      <c r="P641" s="31"/>
      <c r="Q641" s="33"/>
      <c r="R641" s="33"/>
      <c r="S641" s="31"/>
    </row>
    <row r="642" spans="1:20" x14ac:dyDescent="0.3">
      <c r="B642" s="72"/>
      <c r="C642" s="66"/>
      <c r="D642" s="66"/>
      <c r="E642" s="73"/>
      <c r="F642" s="54"/>
      <c r="L642" s="27"/>
      <c r="N642" s="34"/>
      <c r="O642" s="32"/>
      <c r="P642" s="31"/>
      <c r="Q642" s="33"/>
      <c r="R642" s="33"/>
      <c r="S642" s="31"/>
    </row>
    <row r="643" spans="1:20" x14ac:dyDescent="0.3">
      <c r="B643" s="72"/>
      <c r="D643" s="25" t="s">
        <v>37</v>
      </c>
      <c r="E643" s="81">
        <v>6968.65</v>
      </c>
      <c r="F643" s="27" t="s">
        <v>38</v>
      </c>
      <c r="L643" s="27"/>
      <c r="N643" s="34"/>
      <c r="O643" s="32"/>
      <c r="P643" s="31"/>
      <c r="Q643" s="33"/>
      <c r="R643" s="33"/>
      <c r="S643" s="31"/>
    </row>
    <row r="644" spans="1:20" ht="15" x14ac:dyDescent="0.35">
      <c r="B644" s="72"/>
      <c r="D644" s="25" t="s">
        <v>139</v>
      </c>
      <c r="E644" s="73">
        <f>E643*1.33</f>
        <v>9268.3045000000002</v>
      </c>
      <c r="F644" s="27" t="s">
        <v>38</v>
      </c>
      <c r="L644" s="27"/>
      <c r="N644" s="34"/>
      <c r="O644" s="32"/>
      <c r="P644" s="31"/>
      <c r="Q644" s="33"/>
      <c r="R644" s="33"/>
      <c r="S644" s="31"/>
      <c r="T644" s="44"/>
    </row>
    <row r="645" spans="1:20" ht="15" x14ac:dyDescent="0.35">
      <c r="B645" s="72"/>
      <c r="D645" s="25" t="s">
        <v>143</v>
      </c>
      <c r="E645" s="82">
        <f>E644/2</f>
        <v>4634.1522500000001</v>
      </c>
      <c r="F645" s="27" t="s">
        <v>38</v>
      </c>
      <c r="L645" s="27"/>
      <c r="N645" s="34"/>
      <c r="O645" s="32"/>
      <c r="P645" s="31"/>
      <c r="Q645" s="33"/>
      <c r="R645" s="33"/>
      <c r="S645" s="31"/>
      <c r="T645" s="44"/>
    </row>
    <row r="646" spans="1:20" ht="15" x14ac:dyDescent="0.35">
      <c r="B646" s="45"/>
      <c r="C646" s="131"/>
      <c r="D646" s="25" t="s">
        <v>145</v>
      </c>
      <c r="E646" s="82">
        <f>E645*0.8</f>
        <v>3707.3218000000002</v>
      </c>
      <c r="F646" s="27" t="s">
        <v>38</v>
      </c>
      <c r="L646" s="27"/>
      <c r="N646" s="34"/>
      <c r="O646" s="32"/>
      <c r="P646" s="31"/>
      <c r="Q646" s="33"/>
      <c r="R646" s="33"/>
      <c r="S646" s="31"/>
      <c r="T646" s="44"/>
    </row>
    <row r="647" spans="1:20" x14ac:dyDescent="0.3">
      <c r="B647" s="45"/>
      <c r="C647" s="131"/>
      <c r="E647" s="82"/>
      <c r="L647" s="27"/>
      <c r="N647" s="34"/>
      <c r="O647" s="32"/>
      <c r="P647" s="31"/>
      <c r="Q647" s="33"/>
      <c r="R647" s="33"/>
      <c r="S647" s="31"/>
      <c r="T647" s="44"/>
    </row>
    <row r="648" spans="1:20" x14ac:dyDescent="0.3">
      <c r="A648" s="37"/>
      <c r="B648" s="49" t="s">
        <v>116</v>
      </c>
      <c r="C648" s="30"/>
      <c r="D648" s="30"/>
      <c r="E648" s="88"/>
      <c r="F648" s="30"/>
      <c r="G648" s="30"/>
      <c r="H648" s="30"/>
      <c r="I648" s="30"/>
      <c r="J648" s="30"/>
      <c r="K648" s="30"/>
      <c r="L648" s="27"/>
      <c r="N648" s="34"/>
      <c r="O648" s="32"/>
      <c r="P648" s="31"/>
      <c r="Q648" s="33"/>
      <c r="R648" s="33"/>
      <c r="S648" s="31"/>
      <c r="T648" s="44"/>
    </row>
    <row r="649" spans="1:20" x14ac:dyDescent="0.3">
      <c r="B649" s="72"/>
      <c r="C649" s="66"/>
      <c r="D649" s="66"/>
      <c r="E649" s="73"/>
      <c r="F649" s="54"/>
      <c r="L649" s="27"/>
      <c r="N649" s="34"/>
      <c r="O649" s="32"/>
      <c r="P649" s="31"/>
      <c r="Q649" s="33"/>
      <c r="R649" s="33"/>
      <c r="S649" s="31"/>
      <c r="T649" s="44"/>
    </row>
    <row r="650" spans="1:20" x14ac:dyDescent="0.3">
      <c r="B650" s="72"/>
      <c r="D650" s="25" t="s">
        <v>37</v>
      </c>
      <c r="E650" s="81">
        <v>4831.6499999999996</v>
      </c>
      <c r="F650" s="27" t="s">
        <v>38</v>
      </c>
      <c r="L650" s="27"/>
      <c r="N650" s="34"/>
      <c r="O650" s="32"/>
      <c r="P650" s="31"/>
      <c r="Q650" s="33"/>
      <c r="R650" s="33"/>
      <c r="S650" s="31"/>
      <c r="T650" s="44"/>
    </row>
    <row r="651" spans="1:20" ht="15" x14ac:dyDescent="0.35">
      <c r="B651" s="72"/>
      <c r="D651" s="25" t="s">
        <v>139</v>
      </c>
      <c r="E651" s="73">
        <f>E650*1.33</f>
        <v>6426.0945000000002</v>
      </c>
      <c r="F651" s="27" t="s">
        <v>38</v>
      </c>
      <c r="L651" s="27"/>
      <c r="N651" s="34"/>
      <c r="O651" s="32"/>
      <c r="P651" s="31"/>
      <c r="Q651" s="33"/>
      <c r="R651" s="33"/>
      <c r="S651" s="31"/>
      <c r="T651" s="44"/>
    </row>
    <row r="652" spans="1:20" ht="15" x14ac:dyDescent="0.35">
      <c r="B652" s="72"/>
      <c r="D652" s="25" t="s">
        <v>143</v>
      </c>
      <c r="E652" s="82">
        <f>E651/2</f>
        <v>3213.0472500000001</v>
      </c>
      <c r="F652" s="27" t="s">
        <v>38</v>
      </c>
      <c r="L652" s="27"/>
      <c r="N652" s="34"/>
      <c r="O652" s="32"/>
      <c r="P652" s="31"/>
      <c r="Q652" s="33"/>
      <c r="R652" s="33"/>
      <c r="S652" s="31"/>
      <c r="T652" s="44"/>
    </row>
    <row r="653" spans="1:20" ht="15" x14ac:dyDescent="0.35">
      <c r="A653" s="30"/>
      <c r="B653" s="45"/>
      <c r="C653" s="46"/>
      <c r="D653" s="45" t="s">
        <v>145</v>
      </c>
      <c r="E653" s="88">
        <f>E652*0.8</f>
        <v>2570.4378000000002</v>
      </c>
      <c r="F653" s="30" t="s">
        <v>38</v>
      </c>
      <c r="G653" s="30"/>
      <c r="H653" s="30"/>
      <c r="I653" s="30"/>
      <c r="J653" s="30"/>
      <c r="K653" s="30"/>
      <c r="L653" s="27"/>
      <c r="N653" s="34"/>
      <c r="O653" s="32"/>
      <c r="P653" s="31"/>
      <c r="Q653" s="33"/>
      <c r="R653" s="33"/>
      <c r="S653" s="31"/>
      <c r="T653" s="44"/>
    </row>
    <row r="654" spans="1:20" x14ac:dyDescent="0.3">
      <c r="A654" s="30"/>
      <c r="B654" s="45"/>
      <c r="C654" s="46"/>
      <c r="D654" s="30"/>
      <c r="E654" s="88"/>
      <c r="F654" s="30"/>
      <c r="G654" s="30"/>
      <c r="H654" s="30"/>
      <c r="I654" s="30"/>
      <c r="J654" s="30"/>
      <c r="K654" s="30"/>
      <c r="L654" s="27"/>
      <c r="N654" s="34"/>
      <c r="O654" s="32"/>
      <c r="P654" s="31"/>
      <c r="Q654" s="33"/>
      <c r="R654" s="33"/>
      <c r="S654" s="31"/>
      <c r="T654" s="44"/>
    </row>
    <row r="655" spans="1:20" x14ac:dyDescent="0.3">
      <c r="A655" s="37"/>
      <c r="B655" s="49" t="s">
        <v>117</v>
      </c>
      <c r="C655" s="30"/>
      <c r="D655" s="30"/>
      <c r="E655" s="88"/>
      <c r="F655" s="30"/>
      <c r="G655" s="30"/>
      <c r="H655" s="30"/>
      <c r="I655" s="30"/>
      <c r="J655" s="30"/>
      <c r="K655" s="30"/>
      <c r="L655" s="27"/>
      <c r="N655" s="34"/>
      <c r="O655" s="32"/>
      <c r="P655" s="31"/>
      <c r="Q655" s="33"/>
      <c r="R655" s="33"/>
      <c r="S655" s="31"/>
      <c r="T655" s="44"/>
    </row>
    <row r="656" spans="1:20" x14ac:dyDescent="0.3">
      <c r="A656" s="30"/>
      <c r="B656" s="43"/>
      <c r="C656" s="41"/>
      <c r="D656" s="41"/>
      <c r="E656" s="79"/>
      <c r="F656" s="42"/>
      <c r="G656" s="30"/>
      <c r="H656" s="30"/>
      <c r="I656" s="30"/>
      <c r="J656" s="30"/>
      <c r="K656" s="30"/>
      <c r="L656" s="27"/>
      <c r="N656" s="34"/>
      <c r="O656" s="32"/>
      <c r="P656" s="31"/>
      <c r="Q656" s="33"/>
      <c r="R656" s="33"/>
      <c r="S656" s="31"/>
      <c r="T656" s="44"/>
    </row>
    <row r="657" spans="1:20" x14ac:dyDescent="0.3">
      <c r="A657" s="30"/>
      <c r="B657" s="43"/>
      <c r="C657" s="30"/>
      <c r="D657" s="45" t="s">
        <v>37</v>
      </c>
      <c r="E657" s="94">
        <v>7084.5024999999996</v>
      </c>
      <c r="F657" s="30" t="s">
        <v>38</v>
      </c>
      <c r="G657" s="30"/>
      <c r="H657" s="30"/>
      <c r="I657" s="30"/>
      <c r="J657" s="30"/>
      <c r="K657" s="30"/>
      <c r="L657" s="27"/>
      <c r="N657" s="34"/>
      <c r="O657" s="32"/>
      <c r="P657" s="31"/>
      <c r="Q657" s="33"/>
      <c r="R657" s="33"/>
      <c r="S657" s="31"/>
      <c r="T657" s="44"/>
    </row>
    <row r="658" spans="1:20" ht="15" x14ac:dyDescent="0.35">
      <c r="A658" s="30"/>
      <c r="B658" s="43"/>
      <c r="C658" s="30"/>
      <c r="D658" s="45" t="s">
        <v>139</v>
      </c>
      <c r="E658" s="79">
        <f>E657*1.33</f>
        <v>9422.3883249999999</v>
      </c>
      <c r="F658" s="30" t="s">
        <v>38</v>
      </c>
      <c r="G658" s="30"/>
      <c r="H658" s="30"/>
      <c r="I658" s="30"/>
      <c r="J658" s="30"/>
      <c r="K658" s="30"/>
      <c r="L658" s="27"/>
      <c r="N658" s="34"/>
      <c r="O658" s="32"/>
      <c r="P658" s="31"/>
      <c r="Q658" s="33"/>
      <c r="R658" s="33"/>
      <c r="S658" s="31"/>
      <c r="T658" s="44"/>
    </row>
    <row r="659" spans="1:20" ht="15" x14ac:dyDescent="0.35">
      <c r="A659" s="30"/>
      <c r="B659" s="43"/>
      <c r="C659" s="30"/>
      <c r="D659" s="45" t="s">
        <v>143</v>
      </c>
      <c r="E659" s="88">
        <f>E658/2</f>
        <v>4711.1941624999999</v>
      </c>
      <c r="F659" s="30" t="s">
        <v>38</v>
      </c>
      <c r="G659" s="30"/>
      <c r="H659" s="30"/>
      <c r="I659" s="30"/>
      <c r="J659" s="30"/>
      <c r="K659" s="30"/>
      <c r="L659" s="27"/>
      <c r="N659" s="34"/>
      <c r="O659" s="32"/>
      <c r="P659" s="31"/>
      <c r="Q659" s="33"/>
      <c r="R659" s="33"/>
      <c r="S659" s="31"/>
      <c r="T659" s="44"/>
    </row>
    <row r="660" spans="1:20" ht="15" x14ac:dyDescent="0.35">
      <c r="A660" s="30"/>
      <c r="B660" s="45"/>
      <c r="C660" s="46"/>
      <c r="D660" s="45" t="s">
        <v>145</v>
      </c>
      <c r="E660" s="88">
        <f>E659*0.8</f>
        <v>3768.9553300000002</v>
      </c>
      <c r="F660" s="30" t="s">
        <v>38</v>
      </c>
      <c r="G660" s="30"/>
      <c r="H660" s="30"/>
      <c r="I660" s="30"/>
      <c r="J660" s="30"/>
      <c r="K660" s="30"/>
      <c r="L660" s="27"/>
      <c r="N660" s="34"/>
      <c r="O660" s="32"/>
      <c r="P660" s="31"/>
      <c r="Q660" s="33"/>
      <c r="R660" s="33"/>
      <c r="S660" s="31"/>
      <c r="T660" s="44"/>
    </row>
    <row r="661" spans="1:20" x14ac:dyDescent="0.3">
      <c r="A661" s="30"/>
      <c r="B661" s="45"/>
      <c r="C661" s="46"/>
      <c r="D661" s="30"/>
      <c r="E661" s="30"/>
      <c r="F661" s="30"/>
      <c r="G661" s="30"/>
      <c r="H661" s="30"/>
      <c r="I661" s="30"/>
      <c r="J661" s="30"/>
      <c r="K661" s="30"/>
      <c r="L661" s="27"/>
      <c r="N661" s="34"/>
      <c r="O661" s="32"/>
      <c r="P661" s="31"/>
      <c r="Q661" s="33"/>
      <c r="R661" s="33"/>
      <c r="S661" s="31"/>
      <c r="T661" s="44"/>
    </row>
    <row r="662" spans="1:20" x14ac:dyDescent="0.3">
      <c r="A662" s="30"/>
      <c r="B662" s="30"/>
      <c r="C662" s="30"/>
      <c r="D662" s="30"/>
      <c r="E662" s="30"/>
      <c r="F662" s="30"/>
      <c r="G662" s="30"/>
      <c r="H662" s="30"/>
      <c r="I662" s="30"/>
      <c r="J662" s="30"/>
      <c r="K662" s="30"/>
      <c r="O662" s="32"/>
      <c r="P662" s="31"/>
      <c r="Q662" s="33"/>
      <c r="R662" s="33"/>
      <c r="S662" s="31"/>
    </row>
    <row r="663" spans="1:20" x14ac:dyDescent="0.3">
      <c r="A663" s="30"/>
      <c r="B663" s="30"/>
      <c r="C663" s="30"/>
      <c r="D663" s="30"/>
      <c r="E663" s="30"/>
      <c r="F663" s="30"/>
      <c r="G663" s="30"/>
      <c r="H663" s="30"/>
      <c r="I663" s="30"/>
      <c r="J663" s="30"/>
      <c r="K663" s="30"/>
      <c r="O663" s="32"/>
      <c r="P663" s="31"/>
      <c r="Q663" s="33"/>
      <c r="R663" s="33"/>
      <c r="S663" s="31"/>
    </row>
    <row r="664" spans="1:20" x14ac:dyDescent="0.3">
      <c r="A664" s="30"/>
      <c r="B664" s="45"/>
      <c r="C664" s="63"/>
      <c r="D664" s="30"/>
      <c r="E664" s="30"/>
      <c r="F664" s="30"/>
      <c r="G664" s="30"/>
      <c r="H664" s="30"/>
      <c r="I664" s="30"/>
      <c r="J664" s="30"/>
      <c r="K664" s="30"/>
      <c r="O664" s="32"/>
      <c r="P664" s="31"/>
      <c r="Q664" s="33"/>
      <c r="R664" s="33"/>
      <c r="S664" s="31"/>
      <c r="T664" s="44"/>
    </row>
    <row r="665" spans="1:20" x14ac:dyDescent="0.3">
      <c r="A665" s="30"/>
      <c r="B665" s="45"/>
      <c r="C665" s="95"/>
      <c r="D665" s="30"/>
      <c r="E665" s="30"/>
      <c r="F665" s="30"/>
      <c r="G665" s="30"/>
      <c r="H665" s="30"/>
      <c r="I665" s="30"/>
      <c r="J665" s="30"/>
      <c r="K665" s="30"/>
      <c r="O665" s="32"/>
      <c r="P665" s="31"/>
      <c r="Q665" s="33"/>
      <c r="R665" s="33"/>
      <c r="S665" s="31"/>
      <c r="T665" s="44"/>
    </row>
    <row r="666" spans="1:20" x14ac:dyDescent="0.3">
      <c r="A666" s="30"/>
      <c r="B666" s="45"/>
      <c r="C666" s="95"/>
      <c r="D666" s="30"/>
      <c r="E666" s="30"/>
      <c r="F666" s="30"/>
      <c r="G666" s="30"/>
      <c r="H666" s="30"/>
      <c r="I666" s="30"/>
      <c r="J666" s="30"/>
      <c r="K666" s="30"/>
      <c r="O666" s="32"/>
      <c r="P666" s="31"/>
      <c r="Q666" s="33"/>
      <c r="R666" s="33"/>
      <c r="S666" s="31"/>
      <c r="T666" s="44"/>
    </row>
    <row r="667" spans="1:20" x14ac:dyDescent="0.3">
      <c r="A667" s="30"/>
      <c r="B667" s="45"/>
      <c r="C667" s="30"/>
      <c r="D667" s="30"/>
      <c r="E667" s="30"/>
      <c r="F667" s="30"/>
      <c r="G667" s="30"/>
      <c r="H667" s="30"/>
      <c r="I667" s="30"/>
      <c r="J667" s="30"/>
      <c r="K667" s="30"/>
      <c r="O667" s="32"/>
      <c r="P667" s="31"/>
      <c r="Q667" s="33"/>
      <c r="R667" s="33"/>
      <c r="S667" s="31"/>
      <c r="T667" s="44"/>
    </row>
    <row r="668" spans="1:20" x14ac:dyDescent="0.3">
      <c r="A668" s="30"/>
      <c r="B668" s="45"/>
      <c r="C668" s="30"/>
      <c r="D668" s="30"/>
      <c r="E668" s="30"/>
      <c r="F668" s="30"/>
      <c r="G668" s="30"/>
      <c r="H668" s="30"/>
      <c r="I668" s="30"/>
      <c r="J668" s="30"/>
      <c r="K668" s="30"/>
      <c r="O668" s="32"/>
      <c r="P668" s="31"/>
      <c r="Q668" s="33"/>
      <c r="R668" s="33"/>
      <c r="S668" s="31"/>
      <c r="T668" s="44"/>
    </row>
    <row r="669" spans="1:20" x14ac:dyDescent="0.3">
      <c r="A669" s="30"/>
      <c r="B669" s="45"/>
      <c r="C669" s="47"/>
      <c r="D669" s="30"/>
      <c r="E669" s="30"/>
      <c r="F669" s="30"/>
      <c r="G669" s="30"/>
      <c r="H669" s="30"/>
      <c r="I669" s="30"/>
      <c r="J669" s="30"/>
      <c r="K669" s="30"/>
      <c r="O669" s="32"/>
      <c r="P669" s="31"/>
      <c r="Q669" s="33"/>
      <c r="R669" s="33"/>
      <c r="S669" s="31"/>
      <c r="T669" s="44"/>
    </row>
    <row r="670" spans="1:20" x14ac:dyDescent="0.3">
      <c r="A670" s="30"/>
      <c r="B670" s="45"/>
      <c r="C670" s="45"/>
      <c r="D670" s="138"/>
      <c r="E670" s="30"/>
      <c r="F670" s="30"/>
      <c r="G670" s="30"/>
      <c r="H670" s="30"/>
      <c r="I670" s="30"/>
      <c r="J670" s="30"/>
      <c r="K670" s="30"/>
      <c r="O670" s="32"/>
      <c r="P670" s="31"/>
      <c r="Q670" s="33"/>
      <c r="R670" s="33"/>
      <c r="S670" s="31"/>
      <c r="T670" s="44"/>
    </row>
    <row r="671" spans="1:20" x14ac:dyDescent="0.3">
      <c r="A671" s="30"/>
      <c r="B671" s="45"/>
      <c r="C671" s="45"/>
      <c r="D671" s="138"/>
      <c r="E671" s="30"/>
      <c r="F671" s="30"/>
      <c r="G671" s="30"/>
      <c r="H671" s="30"/>
      <c r="I671" s="30"/>
      <c r="J671" s="30"/>
      <c r="K671" s="30"/>
      <c r="O671" s="32"/>
      <c r="P671" s="31"/>
      <c r="Q671" s="33"/>
      <c r="R671" s="33"/>
      <c r="S671" s="31"/>
      <c r="T671" s="44"/>
    </row>
    <row r="672" spans="1:20" x14ac:dyDescent="0.3">
      <c r="A672" s="30"/>
      <c r="B672" s="45"/>
      <c r="C672" s="45"/>
      <c r="D672" s="138"/>
      <c r="E672" s="30"/>
      <c r="F672" s="30"/>
      <c r="G672" s="30"/>
      <c r="H672" s="30"/>
      <c r="I672" s="30"/>
      <c r="J672" s="30"/>
      <c r="K672" s="30"/>
      <c r="O672" s="32"/>
      <c r="P672" s="31"/>
      <c r="Q672" s="33"/>
      <c r="R672" s="33"/>
      <c r="S672" s="31"/>
      <c r="T672" s="44"/>
    </row>
    <row r="673" spans="1:20" x14ac:dyDescent="0.3">
      <c r="A673" s="30"/>
      <c r="B673" s="45"/>
      <c r="C673" s="45"/>
      <c r="D673" s="138"/>
      <c r="E673" s="30"/>
      <c r="F673" s="30"/>
      <c r="G673" s="30"/>
      <c r="H673" s="30"/>
      <c r="I673" s="30"/>
      <c r="J673" s="30"/>
      <c r="K673" s="30"/>
      <c r="O673" s="32"/>
      <c r="P673" s="31"/>
      <c r="Q673" s="33"/>
      <c r="R673" s="33"/>
      <c r="S673" s="31"/>
      <c r="T673" s="44"/>
    </row>
    <row r="674" spans="1:20" x14ac:dyDescent="0.3">
      <c r="A674" s="30"/>
      <c r="B674" s="45"/>
      <c r="C674" s="45"/>
      <c r="D674" s="138"/>
      <c r="E674" s="30"/>
      <c r="F674" s="30"/>
      <c r="G674" s="30"/>
      <c r="H674" s="30"/>
      <c r="I674" s="30"/>
      <c r="J674" s="30"/>
      <c r="K674" s="30"/>
      <c r="O674" s="32"/>
      <c r="P674" s="31"/>
      <c r="Q674" s="33"/>
      <c r="R674" s="33"/>
      <c r="S674" s="31"/>
      <c r="T674" s="44"/>
    </row>
    <row r="675" spans="1:20" x14ac:dyDescent="0.3">
      <c r="A675" s="30"/>
      <c r="B675" s="45"/>
      <c r="C675" s="45"/>
      <c r="D675" s="138"/>
      <c r="E675" s="30"/>
      <c r="F675" s="30"/>
      <c r="G675" s="30"/>
      <c r="H675" s="30"/>
      <c r="I675" s="30"/>
      <c r="J675" s="30"/>
      <c r="K675" s="30"/>
      <c r="O675" s="32"/>
      <c r="P675" s="31"/>
      <c r="Q675" s="33"/>
      <c r="R675" s="33"/>
      <c r="S675" s="31"/>
      <c r="T675" s="44"/>
    </row>
    <row r="676" spans="1:20" x14ac:dyDescent="0.3">
      <c r="A676" s="30"/>
      <c r="B676" s="45"/>
      <c r="C676" s="45"/>
      <c r="D676" s="138"/>
      <c r="E676" s="30"/>
      <c r="F676" s="30"/>
      <c r="G676" s="30"/>
      <c r="H676" s="30"/>
      <c r="I676" s="30"/>
      <c r="J676" s="30"/>
      <c r="K676" s="30"/>
      <c r="O676" s="32"/>
      <c r="P676" s="31"/>
      <c r="Q676" s="33"/>
      <c r="R676" s="33"/>
      <c r="S676" s="31"/>
    </row>
    <row r="677" spans="1:20" x14ac:dyDescent="0.3">
      <c r="A677" s="30"/>
      <c r="B677" s="45"/>
      <c r="C677" s="45"/>
      <c r="D677" s="138"/>
      <c r="E677" s="30"/>
      <c r="F677" s="30"/>
      <c r="G677" s="30"/>
      <c r="H677" s="30"/>
      <c r="I677" s="30"/>
      <c r="J677" s="30"/>
      <c r="K677" s="30"/>
      <c r="O677" s="32"/>
      <c r="P677" s="31"/>
      <c r="Q677" s="33"/>
      <c r="R677" s="33"/>
      <c r="S677" s="31"/>
    </row>
    <row r="678" spans="1:20" x14ac:dyDescent="0.3">
      <c r="A678" s="30"/>
      <c r="B678" s="45"/>
      <c r="C678" s="30"/>
      <c r="D678" s="30"/>
      <c r="E678" s="30"/>
      <c r="F678" s="42"/>
      <c r="G678" s="30"/>
      <c r="H678" s="30"/>
      <c r="I678" s="30"/>
      <c r="J678" s="30"/>
      <c r="K678" s="30"/>
      <c r="O678" s="32"/>
      <c r="P678" s="31"/>
      <c r="Q678" s="33"/>
      <c r="R678" s="33"/>
      <c r="S678" s="31"/>
    </row>
    <row r="679" spans="1:20" x14ac:dyDescent="0.3">
      <c r="A679" s="30"/>
      <c r="B679" s="45"/>
      <c r="C679" s="30"/>
      <c r="D679" s="30"/>
      <c r="E679" s="30"/>
      <c r="F679" s="42"/>
      <c r="G679" s="30"/>
      <c r="H679" s="30"/>
      <c r="I679" s="30"/>
      <c r="J679" s="30"/>
      <c r="K679" s="30"/>
      <c r="O679" s="32"/>
      <c r="P679" s="31"/>
      <c r="Q679" s="33"/>
      <c r="R679" s="33"/>
      <c r="S679" s="31"/>
    </row>
    <row r="680" spans="1:20" x14ac:dyDescent="0.3">
      <c r="A680" s="190"/>
      <c r="B680" s="193"/>
      <c r="C680" s="195"/>
      <c r="D680" s="190"/>
      <c r="E680" s="190"/>
      <c r="F680" s="190"/>
      <c r="G680" s="195"/>
      <c r="H680" s="190"/>
      <c r="I680" s="190"/>
      <c r="J680" s="190"/>
      <c r="K680" s="190"/>
      <c r="O680" s="32"/>
      <c r="P680" s="31"/>
      <c r="Q680" s="33"/>
      <c r="R680" s="33"/>
      <c r="S680" s="31"/>
    </row>
    <row r="681" spans="1:20" x14ac:dyDescent="0.3">
      <c r="A681" s="190"/>
      <c r="B681" s="196"/>
      <c r="C681" s="195"/>
      <c r="D681" s="197"/>
      <c r="E681" s="197"/>
      <c r="F681" s="198" t="s">
        <v>159</v>
      </c>
      <c r="G681" s="195"/>
      <c r="H681" s="197"/>
      <c r="I681" s="197"/>
      <c r="J681" s="197"/>
      <c r="K681" s="190"/>
      <c r="O681" s="32"/>
      <c r="P681" s="31"/>
      <c r="Q681" s="33"/>
      <c r="R681" s="33"/>
      <c r="S681" s="31"/>
    </row>
    <row r="682" spans="1:20" x14ac:dyDescent="0.3">
      <c r="A682" s="190"/>
      <c r="B682" s="197"/>
      <c r="C682" s="197"/>
      <c r="D682" s="197"/>
      <c r="E682" s="197"/>
      <c r="F682" s="199" t="s">
        <v>160</v>
      </c>
      <c r="G682" s="197"/>
      <c r="H682" s="197"/>
      <c r="I682" s="197"/>
      <c r="J682" s="197"/>
      <c r="K682" s="190"/>
      <c r="O682" s="32"/>
      <c r="P682" s="31"/>
      <c r="Q682" s="33"/>
      <c r="R682" s="33"/>
      <c r="S682" s="31"/>
    </row>
    <row r="683" spans="1:20" ht="12.75" customHeight="1" x14ac:dyDescent="0.3">
      <c r="A683" s="14"/>
      <c r="B683" s="5"/>
      <c r="C683" s="5"/>
      <c r="D683" s="5"/>
      <c r="E683" s="7" t="s">
        <v>1</v>
      </c>
      <c r="F683" s="8" t="str">
        <f>$C$1</f>
        <v>R. Abbott</v>
      </c>
      <c r="G683" s="5"/>
      <c r="H683" s="15"/>
      <c r="I683" s="7" t="s">
        <v>8</v>
      </c>
      <c r="J683" s="16" t="str">
        <f>$G$2</f>
        <v>AA-SM-503</v>
      </c>
      <c r="K683" s="17"/>
      <c r="L683" s="18"/>
      <c r="M683" s="9"/>
      <c r="N683" s="9"/>
      <c r="O683" s="9"/>
      <c r="P683" s="9"/>
      <c r="Q683" s="33"/>
      <c r="R683" s="33"/>
      <c r="S683" s="31"/>
    </row>
    <row r="684" spans="1:20" x14ac:dyDescent="0.3">
      <c r="A684" s="5"/>
      <c r="B684" s="5"/>
      <c r="C684" s="5"/>
      <c r="D684" s="5"/>
      <c r="E684" s="7" t="s">
        <v>2</v>
      </c>
      <c r="F684" s="15" t="str">
        <f>$C$2</f>
        <v xml:space="preserve"> </v>
      </c>
      <c r="G684" s="5"/>
      <c r="H684" s="15"/>
      <c r="I684" s="7" t="s">
        <v>9</v>
      </c>
      <c r="J684" s="17" t="str">
        <f>$G$3</f>
        <v>IR</v>
      </c>
      <c r="K684" s="17"/>
      <c r="L684" s="18"/>
      <c r="M684" s="9">
        <v>1</v>
      </c>
      <c r="N684" s="9"/>
      <c r="O684" s="9"/>
      <c r="P684" s="9"/>
      <c r="Q684" s="33"/>
      <c r="R684" s="33"/>
      <c r="S684" s="31"/>
    </row>
    <row r="685" spans="1:20" x14ac:dyDescent="0.3">
      <c r="A685" s="5"/>
      <c r="B685" s="5"/>
      <c r="C685" s="5"/>
      <c r="D685" s="5"/>
      <c r="E685" s="7" t="s">
        <v>3</v>
      </c>
      <c r="F685" s="15" t="str">
        <f>$C$3</f>
        <v>20/10/2013</v>
      </c>
      <c r="G685" s="5"/>
      <c r="H685" s="15"/>
      <c r="I685" s="7" t="s">
        <v>6</v>
      </c>
      <c r="J685" s="8" t="str">
        <f>L685&amp;" of "&amp;$G$1</f>
        <v>13 of 15</v>
      </c>
      <c r="K685" s="15"/>
      <c r="L685" s="18">
        <f>SUM($M$1:M684)</f>
        <v>13</v>
      </c>
      <c r="M685" s="9"/>
      <c r="N685" s="9"/>
      <c r="O685" s="9"/>
      <c r="P685" s="9"/>
      <c r="Q685" s="33"/>
      <c r="R685" s="33"/>
      <c r="S685" s="31"/>
    </row>
    <row r="686" spans="1:20" x14ac:dyDescent="0.3">
      <c r="E686" s="7" t="s">
        <v>131</v>
      </c>
      <c r="F686" s="15" t="str">
        <f>$C$5</f>
        <v>STANDARD SPREADSHEET METHOD</v>
      </c>
      <c r="G686" s="5"/>
      <c r="H686" s="5"/>
      <c r="I686" s="19"/>
      <c r="J686" s="8"/>
      <c r="K686" s="5"/>
      <c r="L686" s="5"/>
      <c r="M686" s="9"/>
      <c r="N686" s="9"/>
      <c r="O686" s="9"/>
      <c r="P686" s="9"/>
      <c r="Q686" s="33"/>
      <c r="R686" s="33"/>
      <c r="S686" s="31"/>
    </row>
    <row r="687" spans="1:20" ht="13.5" customHeight="1" x14ac:dyDescent="0.3">
      <c r="A687" s="190"/>
      <c r="B687" s="21" t="str">
        <f>$G$4</f>
        <v>SIMPLE LANDING GEAR LOADS</v>
      </c>
      <c r="C687" s="190"/>
      <c r="D687" s="190"/>
      <c r="E687" s="190"/>
      <c r="F687" s="190"/>
      <c r="G687" s="190"/>
      <c r="H687" s="190"/>
      <c r="I687" s="190"/>
      <c r="J687" s="190"/>
      <c r="K687" s="190"/>
      <c r="L687" s="191"/>
      <c r="M687" s="192"/>
      <c r="N687" s="192"/>
      <c r="O687" s="192"/>
      <c r="P687" s="192"/>
      <c r="Q687" s="33"/>
      <c r="R687" s="33"/>
      <c r="S687" s="31"/>
    </row>
    <row r="688" spans="1:20" x14ac:dyDescent="0.3">
      <c r="A688" s="37"/>
      <c r="B688" s="26" t="s">
        <v>93</v>
      </c>
      <c r="O688" s="32"/>
      <c r="P688" s="31"/>
      <c r="Q688" s="33"/>
      <c r="R688" s="33"/>
      <c r="S688" s="31"/>
    </row>
    <row r="689" spans="1:20" x14ac:dyDescent="0.3">
      <c r="F689" s="54"/>
      <c r="G689" s="54"/>
      <c r="O689" s="32"/>
      <c r="P689" s="31"/>
      <c r="Q689" s="33"/>
      <c r="R689" s="33"/>
      <c r="S689" s="31"/>
    </row>
    <row r="690" spans="1:20" x14ac:dyDescent="0.3">
      <c r="A690" s="37"/>
      <c r="B690" s="49" t="s">
        <v>114</v>
      </c>
      <c r="C690" s="30"/>
      <c r="D690" s="30"/>
      <c r="E690" s="30"/>
      <c r="F690" s="30"/>
      <c r="G690" s="30"/>
      <c r="H690" s="30"/>
      <c r="I690" s="30"/>
      <c r="J690" s="30"/>
      <c r="K690" s="30"/>
      <c r="L690" s="27"/>
      <c r="N690" s="34"/>
      <c r="O690" s="32"/>
      <c r="P690" s="31"/>
      <c r="Q690" s="33"/>
      <c r="R690" s="33"/>
      <c r="S690" s="31"/>
    </row>
    <row r="691" spans="1:20" x14ac:dyDescent="0.3">
      <c r="B691" s="72"/>
      <c r="C691" s="66"/>
      <c r="D691" s="66"/>
      <c r="E691" s="66"/>
      <c r="F691" s="54"/>
      <c r="L691" s="27"/>
      <c r="N691" s="34"/>
      <c r="O691" s="32"/>
      <c r="P691" s="31"/>
      <c r="Q691" s="33"/>
      <c r="R691" s="33"/>
      <c r="S691" s="31"/>
    </row>
    <row r="692" spans="1:20" ht="15" x14ac:dyDescent="0.35">
      <c r="B692" s="72" t="s">
        <v>149</v>
      </c>
      <c r="C692" s="73">
        <f>C157</f>
        <v>1798.8033948030177</v>
      </c>
      <c r="D692" s="71" t="s">
        <v>94</v>
      </c>
      <c r="E692" s="66"/>
      <c r="F692" s="54"/>
      <c r="L692" s="27"/>
      <c r="N692" s="34"/>
      <c r="O692" s="32"/>
      <c r="P692" s="31"/>
      <c r="Q692" s="33"/>
      <c r="R692" s="33"/>
      <c r="S692" s="31"/>
    </row>
    <row r="693" spans="1:20" ht="15" x14ac:dyDescent="0.35">
      <c r="B693" s="25" t="s">
        <v>140</v>
      </c>
      <c r="C693" s="73">
        <f>2.25*C692</f>
        <v>4047.3076383067896</v>
      </c>
      <c r="D693" s="27" t="s">
        <v>38</v>
      </c>
      <c r="E693" s="66"/>
      <c r="L693" s="27"/>
      <c r="N693" s="34"/>
      <c r="O693" s="32"/>
      <c r="P693" s="31"/>
      <c r="Q693" s="33"/>
      <c r="R693" s="33"/>
      <c r="S693" s="31"/>
    </row>
    <row r="694" spans="1:20" ht="15" x14ac:dyDescent="0.35">
      <c r="B694" s="25" t="s">
        <v>146</v>
      </c>
      <c r="C694" s="73">
        <f>0.8*C693</f>
        <v>3237.846110645432</v>
      </c>
      <c r="D694" s="27" t="s">
        <v>38</v>
      </c>
      <c r="E694" s="66"/>
      <c r="L694" s="27"/>
      <c r="N694" s="34"/>
      <c r="O694" s="32"/>
      <c r="P694" s="31"/>
      <c r="Q694" s="33"/>
      <c r="R694" s="33"/>
      <c r="S694" s="31"/>
      <c r="T694" s="44"/>
    </row>
    <row r="695" spans="1:20" ht="15" x14ac:dyDescent="0.35">
      <c r="B695" s="25" t="s">
        <v>146</v>
      </c>
      <c r="C695" s="81">
        <f>-0.4*C692</f>
        <v>-719.52135792120714</v>
      </c>
      <c r="D695" s="27" t="s">
        <v>38</v>
      </c>
      <c r="L695" s="27"/>
      <c r="N695" s="34"/>
      <c r="O695" s="32"/>
      <c r="P695" s="31"/>
      <c r="Q695" s="33"/>
      <c r="R695" s="33"/>
      <c r="S695" s="31"/>
      <c r="T695" s="44"/>
    </row>
    <row r="696" spans="1:20" ht="15" x14ac:dyDescent="0.35">
      <c r="B696" s="25" t="s">
        <v>150</v>
      </c>
      <c r="C696" s="137">
        <f>0.7*C693</f>
        <v>2833.1153468147527</v>
      </c>
      <c r="D696" s="27" t="s">
        <v>38</v>
      </c>
      <c r="L696" s="27"/>
      <c r="N696" s="34"/>
      <c r="O696" s="32"/>
      <c r="P696" s="31"/>
      <c r="Q696" s="33"/>
      <c r="R696" s="33"/>
      <c r="S696" s="31"/>
      <c r="T696" s="44"/>
    </row>
    <row r="697" spans="1:20" x14ac:dyDescent="0.3">
      <c r="B697" s="45"/>
      <c r="C697" s="131"/>
      <c r="F697" s="54"/>
      <c r="L697" s="27"/>
      <c r="N697" s="34"/>
      <c r="O697" s="32"/>
      <c r="P697" s="31"/>
      <c r="Q697" s="33"/>
      <c r="R697" s="33"/>
      <c r="S697" s="31"/>
      <c r="T697" s="44"/>
    </row>
    <row r="698" spans="1:20" x14ac:dyDescent="0.3">
      <c r="A698" s="37"/>
      <c r="B698" s="49" t="s">
        <v>115</v>
      </c>
      <c r="C698" s="30"/>
      <c r="D698" s="30"/>
      <c r="E698" s="30"/>
      <c r="F698" s="30"/>
      <c r="G698" s="30"/>
      <c r="H698" s="30"/>
      <c r="I698" s="30"/>
      <c r="J698" s="30"/>
      <c r="K698" s="30"/>
      <c r="L698" s="27"/>
      <c r="N698" s="34"/>
      <c r="O698" s="32"/>
      <c r="P698" s="31"/>
      <c r="Q698" s="33"/>
      <c r="R698" s="33"/>
      <c r="S698" s="31"/>
      <c r="T698" s="44"/>
    </row>
    <row r="699" spans="1:20" x14ac:dyDescent="0.3">
      <c r="B699" s="72"/>
      <c r="C699" s="66"/>
      <c r="D699" s="66"/>
      <c r="E699" s="66"/>
      <c r="F699" s="54"/>
      <c r="L699" s="27"/>
      <c r="N699" s="34"/>
      <c r="O699" s="32"/>
      <c r="P699" s="31"/>
      <c r="Q699" s="33"/>
      <c r="R699" s="33"/>
      <c r="S699" s="31"/>
      <c r="T699" s="44"/>
    </row>
    <row r="700" spans="1:20" ht="15" x14ac:dyDescent="0.35">
      <c r="B700" s="72" t="s">
        <v>149</v>
      </c>
      <c r="C700" s="73">
        <f>C164</f>
        <v>1044.1775356244761</v>
      </c>
      <c r="D700" s="71" t="s">
        <v>94</v>
      </c>
      <c r="E700" s="66"/>
      <c r="F700" s="54"/>
      <c r="L700" s="27"/>
      <c r="N700" s="34"/>
      <c r="O700" s="32"/>
      <c r="P700" s="31"/>
      <c r="Q700" s="33"/>
      <c r="R700" s="33"/>
      <c r="S700" s="31"/>
      <c r="T700" s="44"/>
    </row>
    <row r="701" spans="1:20" ht="15" x14ac:dyDescent="0.35">
      <c r="B701" s="25" t="s">
        <v>140</v>
      </c>
      <c r="C701" s="73">
        <f>2.25*C700</f>
        <v>2349.3994551550713</v>
      </c>
      <c r="D701" s="27" t="s">
        <v>38</v>
      </c>
      <c r="E701" s="66"/>
      <c r="L701" s="27"/>
      <c r="N701" s="34"/>
      <c r="O701" s="32"/>
      <c r="P701" s="31"/>
      <c r="Q701" s="33"/>
      <c r="R701" s="33"/>
      <c r="S701" s="31"/>
      <c r="T701" s="44"/>
    </row>
    <row r="702" spans="1:20" ht="15" x14ac:dyDescent="0.35">
      <c r="B702" s="25" t="s">
        <v>146</v>
      </c>
      <c r="C702" s="73">
        <f>0.8*C701</f>
        <v>1879.5195641240571</v>
      </c>
      <c r="D702" s="27" t="s">
        <v>38</v>
      </c>
      <c r="E702" s="66"/>
      <c r="L702" s="27"/>
      <c r="N702" s="34"/>
      <c r="O702" s="32"/>
      <c r="P702" s="31"/>
      <c r="Q702" s="33"/>
      <c r="R702" s="33"/>
      <c r="S702" s="31"/>
      <c r="T702" s="44"/>
    </row>
    <row r="703" spans="1:20" ht="15" x14ac:dyDescent="0.35">
      <c r="B703" s="25" t="s">
        <v>146</v>
      </c>
      <c r="C703" s="81">
        <f>-0.4*C700</f>
        <v>-417.67101424979046</v>
      </c>
      <c r="D703" s="27" t="s">
        <v>38</v>
      </c>
      <c r="L703" s="27"/>
      <c r="N703" s="34"/>
      <c r="O703" s="32"/>
      <c r="P703" s="31"/>
      <c r="Q703" s="33"/>
      <c r="R703" s="33"/>
      <c r="S703" s="31"/>
      <c r="T703" s="44"/>
    </row>
    <row r="704" spans="1:20" ht="15" x14ac:dyDescent="0.35">
      <c r="B704" s="25" t="s">
        <v>150</v>
      </c>
      <c r="C704" s="137">
        <f>0.7*C701</f>
        <v>1644.5796186085499</v>
      </c>
      <c r="D704" s="27" t="s">
        <v>38</v>
      </c>
      <c r="L704" s="27"/>
      <c r="N704" s="34"/>
      <c r="O704" s="32"/>
      <c r="P704" s="31"/>
      <c r="Q704" s="33"/>
      <c r="R704" s="33"/>
      <c r="S704" s="31"/>
      <c r="T704" s="44"/>
    </row>
    <row r="705" spans="1:20" x14ac:dyDescent="0.3">
      <c r="B705" s="45"/>
      <c r="C705" s="131"/>
      <c r="F705" s="54"/>
      <c r="L705" s="27"/>
      <c r="N705" s="34"/>
      <c r="O705" s="32"/>
      <c r="P705" s="31"/>
      <c r="Q705" s="33"/>
      <c r="R705" s="33"/>
      <c r="S705" s="31"/>
      <c r="T705" s="44"/>
    </row>
    <row r="706" spans="1:20" x14ac:dyDescent="0.3">
      <c r="A706" s="37"/>
      <c r="B706" s="49" t="s">
        <v>116</v>
      </c>
      <c r="C706" s="30"/>
      <c r="D706" s="30"/>
      <c r="E706" s="30"/>
      <c r="F706" s="30"/>
      <c r="G706" s="30"/>
      <c r="H706" s="30"/>
      <c r="I706" s="30"/>
      <c r="J706" s="30"/>
      <c r="K706" s="30"/>
      <c r="L706" s="27"/>
      <c r="N706" s="34"/>
      <c r="O706" s="32"/>
      <c r="P706" s="31"/>
      <c r="Q706" s="33"/>
      <c r="R706" s="33"/>
      <c r="S706" s="31"/>
      <c r="T706" s="44"/>
    </row>
    <row r="707" spans="1:20" x14ac:dyDescent="0.3">
      <c r="B707" s="72"/>
      <c r="C707" s="66"/>
      <c r="D707" s="66"/>
      <c r="E707" s="66"/>
      <c r="F707" s="54"/>
      <c r="L707" s="27"/>
      <c r="N707" s="34"/>
      <c r="O707" s="32"/>
      <c r="P707" s="31"/>
      <c r="Q707" s="33"/>
      <c r="R707" s="33"/>
      <c r="S707" s="31"/>
      <c r="T707" s="44"/>
    </row>
    <row r="708" spans="1:20" ht="15" x14ac:dyDescent="0.35">
      <c r="B708" s="72" t="s">
        <v>149</v>
      </c>
      <c r="C708" s="73">
        <f>G157</f>
        <v>897.47078792958962</v>
      </c>
      <c r="D708" s="71" t="s">
        <v>94</v>
      </c>
      <c r="E708" s="66"/>
      <c r="F708" s="54"/>
      <c r="L708" s="27"/>
      <c r="N708" s="34"/>
      <c r="O708" s="32"/>
      <c r="P708" s="31"/>
      <c r="Q708" s="33"/>
      <c r="R708" s="33"/>
      <c r="S708" s="31"/>
      <c r="T708" s="44"/>
    </row>
    <row r="709" spans="1:20" ht="15" x14ac:dyDescent="0.35">
      <c r="B709" s="25" t="s">
        <v>140</v>
      </c>
      <c r="C709" s="73">
        <f>2.25*C708</f>
        <v>2019.3092728415766</v>
      </c>
      <c r="D709" s="27" t="s">
        <v>38</v>
      </c>
      <c r="E709" s="66"/>
      <c r="L709" s="27"/>
      <c r="N709" s="34"/>
      <c r="O709" s="32"/>
      <c r="P709" s="31"/>
      <c r="Q709" s="33"/>
      <c r="R709" s="33"/>
      <c r="S709" s="31"/>
      <c r="T709" s="44"/>
    </row>
    <row r="710" spans="1:20" ht="15" x14ac:dyDescent="0.35">
      <c r="B710" s="25" t="s">
        <v>146</v>
      </c>
      <c r="C710" s="73">
        <f>0.8*C709</f>
        <v>1615.4474182732613</v>
      </c>
      <c r="D710" s="27" t="s">
        <v>38</v>
      </c>
      <c r="E710" s="66"/>
      <c r="L710" s="27"/>
      <c r="N710" s="34"/>
      <c r="O710" s="32"/>
      <c r="P710" s="31"/>
      <c r="Q710" s="33"/>
      <c r="R710" s="33"/>
      <c r="S710" s="31"/>
      <c r="T710" s="44"/>
    </row>
    <row r="711" spans="1:20" ht="15" x14ac:dyDescent="0.35">
      <c r="B711" s="25" t="s">
        <v>146</v>
      </c>
      <c r="C711" s="81">
        <f>-0.4*C708</f>
        <v>-358.98831517183589</v>
      </c>
      <c r="D711" s="27" t="s">
        <v>38</v>
      </c>
      <c r="L711" s="27"/>
      <c r="N711" s="34"/>
      <c r="O711" s="32"/>
      <c r="P711" s="31"/>
      <c r="Q711" s="33"/>
      <c r="R711" s="33"/>
      <c r="S711" s="31"/>
      <c r="T711" s="44"/>
    </row>
    <row r="712" spans="1:20" ht="15" x14ac:dyDescent="0.35">
      <c r="A712" s="30"/>
      <c r="B712" s="45" t="s">
        <v>150</v>
      </c>
      <c r="C712" s="116">
        <f>0.7*C709</f>
        <v>1413.5164909891034</v>
      </c>
      <c r="D712" s="30" t="s">
        <v>38</v>
      </c>
      <c r="E712" s="30"/>
      <c r="F712" s="30"/>
      <c r="G712" s="30"/>
      <c r="L712" s="27"/>
      <c r="N712" s="34"/>
      <c r="O712" s="32"/>
      <c r="P712" s="31"/>
      <c r="Q712" s="33"/>
      <c r="R712" s="33"/>
      <c r="S712" s="31"/>
      <c r="T712" s="44"/>
    </row>
    <row r="713" spans="1:20" x14ac:dyDescent="0.3">
      <c r="A713" s="30"/>
      <c r="B713" s="45"/>
      <c r="C713" s="46"/>
      <c r="D713" s="30"/>
      <c r="E713" s="30"/>
      <c r="F713" s="42"/>
      <c r="G713" s="30"/>
      <c r="L713" s="27"/>
      <c r="N713" s="34"/>
      <c r="O713" s="32"/>
      <c r="P713" s="31"/>
      <c r="Q713" s="33"/>
      <c r="R713" s="33"/>
      <c r="S713" s="31"/>
      <c r="T713" s="44"/>
    </row>
    <row r="714" spans="1:20" x14ac:dyDescent="0.3">
      <c r="A714" s="37"/>
      <c r="B714" s="49" t="s">
        <v>117</v>
      </c>
      <c r="C714" s="30"/>
      <c r="D714" s="30"/>
      <c r="E714" s="30"/>
      <c r="F714" s="30"/>
      <c r="G714" s="30"/>
      <c r="H714" s="30"/>
      <c r="I714" s="30"/>
      <c r="J714" s="30"/>
      <c r="K714" s="30"/>
      <c r="L714" s="27"/>
      <c r="N714" s="34"/>
      <c r="O714" s="32"/>
      <c r="P714" s="31"/>
      <c r="Q714" s="33"/>
      <c r="R714" s="33"/>
      <c r="S714" s="31"/>
      <c r="T714" s="44"/>
    </row>
    <row r="715" spans="1:20" x14ac:dyDescent="0.3">
      <c r="A715" s="30"/>
      <c r="B715" s="43"/>
      <c r="C715" s="41"/>
      <c r="D715" s="41"/>
      <c r="E715" s="41"/>
      <c r="F715" s="42"/>
      <c r="G715" s="30"/>
      <c r="L715" s="27"/>
      <c r="N715" s="34"/>
      <c r="O715" s="32"/>
      <c r="P715" s="31"/>
      <c r="Q715" s="33"/>
      <c r="R715" s="33"/>
      <c r="S715" s="31"/>
      <c r="T715" s="44"/>
    </row>
    <row r="716" spans="1:20" ht="15" x14ac:dyDescent="0.35">
      <c r="A716" s="30"/>
      <c r="B716" s="43" t="s">
        <v>149</v>
      </c>
      <c r="C716" s="79">
        <f>G164</f>
        <v>2033.9894383906121</v>
      </c>
      <c r="D716" s="40" t="s">
        <v>94</v>
      </c>
      <c r="E716" s="41"/>
      <c r="F716" s="42"/>
      <c r="G716" s="30"/>
      <c r="L716" s="27"/>
      <c r="N716" s="34"/>
      <c r="O716" s="32"/>
      <c r="P716" s="31"/>
      <c r="Q716" s="33"/>
      <c r="R716" s="33"/>
      <c r="S716" s="31"/>
      <c r="T716" s="44"/>
    </row>
    <row r="717" spans="1:20" ht="15" x14ac:dyDescent="0.35">
      <c r="A717" s="30"/>
      <c r="B717" s="45" t="s">
        <v>140</v>
      </c>
      <c r="C717" s="79">
        <f>2.25*C716</f>
        <v>4576.4762363788777</v>
      </c>
      <c r="D717" s="30" t="s">
        <v>38</v>
      </c>
      <c r="E717" s="41"/>
      <c r="F717" s="30"/>
      <c r="G717" s="30"/>
      <c r="L717" s="27"/>
      <c r="N717" s="34"/>
      <c r="O717" s="32"/>
      <c r="P717" s="31"/>
      <c r="Q717" s="33"/>
      <c r="R717" s="33"/>
      <c r="S717" s="31"/>
      <c r="T717" s="44"/>
    </row>
    <row r="718" spans="1:20" ht="15" x14ac:dyDescent="0.35">
      <c r="A718" s="30"/>
      <c r="B718" s="45" t="s">
        <v>146</v>
      </c>
      <c r="C718" s="79">
        <f>0.8*C717</f>
        <v>3661.1809891031025</v>
      </c>
      <c r="D718" s="30" t="s">
        <v>38</v>
      </c>
      <c r="E718" s="41"/>
      <c r="F718" s="30"/>
      <c r="G718" s="30"/>
      <c r="L718" s="27"/>
      <c r="N718" s="34"/>
      <c r="O718" s="32"/>
      <c r="P718" s="31"/>
      <c r="Q718" s="33"/>
      <c r="R718" s="33"/>
      <c r="S718" s="31"/>
      <c r="T718" s="44"/>
    </row>
    <row r="719" spans="1:20" ht="15" x14ac:dyDescent="0.35">
      <c r="A719" s="30"/>
      <c r="B719" s="45" t="s">
        <v>146</v>
      </c>
      <c r="C719" s="94">
        <f>-0.4*C716</f>
        <v>-813.59577535624487</v>
      </c>
      <c r="D719" s="30" t="s">
        <v>38</v>
      </c>
      <c r="E719" s="30"/>
      <c r="F719" s="30"/>
      <c r="G719" s="30"/>
      <c r="L719" s="27"/>
      <c r="N719" s="34"/>
      <c r="O719" s="32"/>
      <c r="P719" s="31"/>
      <c r="Q719" s="33"/>
      <c r="R719" s="33"/>
      <c r="S719" s="31"/>
      <c r="T719" s="44"/>
    </row>
    <row r="720" spans="1:20" ht="15" x14ac:dyDescent="0.35">
      <c r="A720" s="30"/>
      <c r="B720" s="45" t="s">
        <v>150</v>
      </c>
      <c r="C720" s="116">
        <f>0.7*C717</f>
        <v>3203.533365465214</v>
      </c>
      <c r="D720" s="30" t="s">
        <v>38</v>
      </c>
      <c r="E720" s="30"/>
      <c r="F720" s="30"/>
      <c r="G720" s="30"/>
      <c r="L720" s="27"/>
      <c r="N720" s="34"/>
      <c r="O720" s="32"/>
      <c r="P720" s="31"/>
      <c r="Q720" s="33"/>
      <c r="R720" s="33"/>
      <c r="S720" s="31"/>
      <c r="T720" s="44"/>
    </row>
    <row r="721" spans="1:20" x14ac:dyDescent="0.3">
      <c r="A721" s="30"/>
      <c r="B721" s="45"/>
      <c r="C721" s="46"/>
      <c r="D721" s="30"/>
      <c r="E721" s="30"/>
      <c r="F721" s="42"/>
      <c r="G721" s="30"/>
      <c r="L721" s="27"/>
      <c r="N721" s="34"/>
      <c r="O721" s="32"/>
      <c r="P721" s="31"/>
      <c r="Q721" s="33"/>
      <c r="R721" s="33"/>
      <c r="S721" s="31"/>
      <c r="T721" s="44"/>
    </row>
    <row r="722" spans="1:20" x14ac:dyDescent="0.3">
      <c r="A722" s="30"/>
      <c r="B722" s="45"/>
      <c r="C722" s="95"/>
      <c r="D722" s="30"/>
      <c r="E722" s="30"/>
      <c r="F722" s="30"/>
      <c r="G722" s="30"/>
      <c r="O722" s="32"/>
      <c r="P722" s="31"/>
      <c r="Q722" s="33"/>
      <c r="R722" s="33"/>
      <c r="S722" s="31"/>
      <c r="T722" s="44"/>
    </row>
    <row r="723" spans="1:20" x14ac:dyDescent="0.3">
      <c r="A723" s="30"/>
      <c r="B723" s="45"/>
      <c r="C723" s="30"/>
      <c r="D723" s="30"/>
      <c r="E723" s="30"/>
      <c r="F723" s="30"/>
      <c r="G723" s="30"/>
      <c r="O723" s="32"/>
      <c r="P723" s="31"/>
      <c r="Q723" s="33"/>
      <c r="R723" s="33"/>
      <c r="S723" s="31"/>
      <c r="T723" s="44"/>
    </row>
    <row r="724" spans="1:20" x14ac:dyDescent="0.3">
      <c r="A724" s="30"/>
      <c r="B724" s="45"/>
      <c r="C724" s="30"/>
      <c r="D724" s="30"/>
      <c r="E724" s="30"/>
      <c r="F724" s="30"/>
      <c r="G724" s="30"/>
      <c r="O724" s="32"/>
      <c r="P724" s="31"/>
      <c r="Q724" s="33"/>
      <c r="R724" s="33"/>
      <c r="S724" s="31"/>
      <c r="T724" s="44"/>
    </row>
    <row r="725" spans="1:20" x14ac:dyDescent="0.3">
      <c r="A725" s="30"/>
      <c r="B725" s="45"/>
      <c r="C725" s="47"/>
      <c r="D725" s="30"/>
      <c r="E725" s="30"/>
      <c r="F725" s="30"/>
      <c r="G725" s="30"/>
      <c r="O725" s="32"/>
      <c r="P725" s="31"/>
      <c r="Q725" s="33"/>
      <c r="R725" s="33"/>
      <c r="S725" s="31"/>
      <c r="T725" s="44"/>
    </row>
    <row r="726" spans="1:20" x14ac:dyDescent="0.3">
      <c r="A726" s="30"/>
      <c r="B726" s="45"/>
      <c r="C726" s="45"/>
      <c r="D726" s="138"/>
      <c r="E726" s="30"/>
      <c r="F726" s="30"/>
      <c r="G726" s="30"/>
      <c r="O726" s="32"/>
      <c r="P726" s="31"/>
      <c r="Q726" s="33"/>
      <c r="R726" s="33"/>
      <c r="S726" s="31"/>
    </row>
    <row r="727" spans="1:20" x14ac:dyDescent="0.3">
      <c r="A727" s="30"/>
      <c r="B727" s="45"/>
      <c r="C727" s="45"/>
      <c r="D727" s="138"/>
      <c r="E727" s="30"/>
      <c r="F727" s="30"/>
      <c r="G727" s="30"/>
      <c r="O727" s="32"/>
      <c r="P727" s="31"/>
      <c r="Q727" s="33"/>
      <c r="R727" s="33"/>
      <c r="S727" s="31"/>
    </row>
    <row r="728" spans="1:20" x14ac:dyDescent="0.3">
      <c r="A728" s="30"/>
      <c r="B728" s="45"/>
      <c r="C728" s="45"/>
      <c r="D728" s="138"/>
      <c r="E728" s="30"/>
      <c r="F728" s="30"/>
      <c r="G728" s="30"/>
      <c r="O728" s="32"/>
      <c r="P728" s="31"/>
      <c r="Q728" s="33"/>
      <c r="R728" s="33"/>
      <c r="S728" s="31"/>
    </row>
    <row r="729" spans="1:20" x14ac:dyDescent="0.3">
      <c r="A729" s="30"/>
      <c r="B729" s="45"/>
      <c r="C729" s="45"/>
      <c r="D729" s="138"/>
      <c r="E729" s="30"/>
      <c r="F729" s="30"/>
      <c r="G729" s="30"/>
      <c r="O729" s="32"/>
      <c r="P729" s="31"/>
      <c r="Q729" s="33"/>
      <c r="R729" s="33"/>
      <c r="S729" s="31"/>
    </row>
    <row r="730" spans="1:20" x14ac:dyDescent="0.3">
      <c r="A730" s="30"/>
      <c r="B730" s="45"/>
      <c r="C730" s="45"/>
      <c r="D730" s="138"/>
      <c r="E730" s="30"/>
      <c r="F730" s="30"/>
      <c r="G730" s="30"/>
      <c r="O730" s="32"/>
      <c r="P730" s="31"/>
      <c r="Q730" s="33"/>
      <c r="R730" s="33"/>
      <c r="S730" s="31"/>
    </row>
    <row r="731" spans="1:20" x14ac:dyDescent="0.3">
      <c r="A731" s="30"/>
      <c r="B731" s="45"/>
      <c r="C731" s="45"/>
      <c r="D731" s="138"/>
      <c r="E731" s="30"/>
      <c r="F731" s="30"/>
      <c r="G731" s="30"/>
      <c r="O731" s="32"/>
      <c r="P731" s="31"/>
      <c r="Q731" s="33"/>
      <c r="R731" s="33"/>
      <c r="S731" s="31"/>
    </row>
    <row r="732" spans="1:20" x14ac:dyDescent="0.3">
      <c r="A732" s="30"/>
      <c r="B732" s="45"/>
      <c r="C732" s="45"/>
      <c r="D732" s="138"/>
      <c r="E732" s="30"/>
      <c r="F732" s="30"/>
      <c r="G732" s="30"/>
      <c r="O732" s="32"/>
      <c r="P732" s="31"/>
      <c r="Q732" s="33"/>
      <c r="R732" s="33"/>
      <c r="S732" s="31"/>
    </row>
    <row r="733" spans="1:20" x14ac:dyDescent="0.3">
      <c r="A733" s="30"/>
      <c r="B733" s="45"/>
      <c r="C733" s="45"/>
      <c r="D733" s="138"/>
      <c r="E733" s="30"/>
      <c r="F733" s="30"/>
      <c r="G733" s="30"/>
      <c r="O733" s="32"/>
      <c r="P733" s="31"/>
      <c r="Q733" s="33"/>
      <c r="R733" s="33"/>
      <c r="S733" s="31"/>
    </row>
    <row r="734" spans="1:20" x14ac:dyDescent="0.3">
      <c r="A734" s="190"/>
      <c r="B734" s="193"/>
      <c r="C734" s="195"/>
      <c r="D734" s="190"/>
      <c r="E734" s="190"/>
      <c r="F734" s="190"/>
      <c r="G734" s="195"/>
      <c r="H734" s="190"/>
      <c r="I734" s="190"/>
      <c r="J734" s="190"/>
      <c r="K734" s="190"/>
      <c r="O734" s="32"/>
      <c r="P734" s="31"/>
      <c r="Q734" s="33"/>
      <c r="R734" s="33"/>
      <c r="S734" s="31"/>
    </row>
    <row r="735" spans="1:20" x14ac:dyDescent="0.3">
      <c r="A735" s="190"/>
      <c r="B735" s="196"/>
      <c r="C735" s="195"/>
      <c r="D735" s="197"/>
      <c r="E735" s="197"/>
      <c r="F735" s="198" t="s">
        <v>159</v>
      </c>
      <c r="G735" s="195"/>
      <c r="H735" s="197"/>
      <c r="I735" s="197"/>
      <c r="J735" s="197"/>
      <c r="K735" s="190"/>
      <c r="O735" s="32"/>
      <c r="P735" s="31"/>
      <c r="Q735" s="33"/>
      <c r="R735" s="33"/>
      <c r="S735" s="31"/>
    </row>
    <row r="736" spans="1:20" x14ac:dyDescent="0.3">
      <c r="A736" s="190"/>
      <c r="B736" s="197"/>
      <c r="C736" s="197"/>
      <c r="D736" s="197"/>
      <c r="E736" s="197"/>
      <c r="F736" s="199" t="s">
        <v>160</v>
      </c>
      <c r="G736" s="197"/>
      <c r="H736" s="197"/>
      <c r="I736" s="197"/>
      <c r="J736" s="197"/>
      <c r="K736" s="190"/>
      <c r="O736" s="32"/>
      <c r="P736" s="31"/>
      <c r="Q736" s="33"/>
      <c r="R736" s="33"/>
      <c r="S736" s="31"/>
    </row>
    <row r="737" spans="1:21" ht="12.75" customHeight="1" x14ac:dyDescent="0.3">
      <c r="A737" s="14"/>
      <c r="B737" s="5"/>
      <c r="C737" s="5"/>
      <c r="D737" s="5"/>
      <c r="E737" s="7" t="s">
        <v>1</v>
      </c>
      <c r="F737" s="8" t="str">
        <f>$C$1</f>
        <v>R. Abbott</v>
      </c>
      <c r="G737" s="5"/>
      <c r="H737" s="15"/>
      <c r="I737" s="7" t="s">
        <v>8</v>
      </c>
      <c r="J737" s="16" t="str">
        <f>$G$2</f>
        <v>AA-SM-503</v>
      </c>
      <c r="K737" s="17"/>
      <c r="L737" s="18"/>
      <c r="M737" s="9"/>
      <c r="N737" s="9"/>
      <c r="O737" s="9"/>
      <c r="P737" s="9"/>
      <c r="Q737" s="33"/>
      <c r="R737" s="33"/>
      <c r="S737" s="31"/>
    </row>
    <row r="738" spans="1:21" x14ac:dyDescent="0.3">
      <c r="A738" s="5"/>
      <c r="B738" s="5"/>
      <c r="C738" s="5"/>
      <c r="D738" s="5"/>
      <c r="E738" s="7" t="s">
        <v>2</v>
      </c>
      <c r="F738" s="15" t="str">
        <f>$C$2</f>
        <v xml:space="preserve"> </v>
      </c>
      <c r="G738" s="5"/>
      <c r="H738" s="15"/>
      <c r="I738" s="7" t="s">
        <v>9</v>
      </c>
      <c r="J738" s="17" t="str">
        <f>$G$3</f>
        <v>IR</v>
      </c>
      <c r="K738" s="17"/>
      <c r="L738" s="18"/>
      <c r="M738" s="9">
        <v>1</v>
      </c>
      <c r="N738" s="9"/>
      <c r="O738" s="9"/>
      <c r="P738" s="9"/>
      <c r="Q738" s="33"/>
      <c r="R738" s="33"/>
      <c r="S738" s="31"/>
    </row>
    <row r="739" spans="1:21" x14ac:dyDescent="0.3">
      <c r="A739" s="5"/>
      <c r="B739" s="5"/>
      <c r="C739" s="5"/>
      <c r="D739" s="5"/>
      <c r="E739" s="7" t="s">
        <v>3</v>
      </c>
      <c r="F739" s="15" t="str">
        <f>$C$3</f>
        <v>20/10/2013</v>
      </c>
      <c r="G739" s="5"/>
      <c r="H739" s="15"/>
      <c r="I739" s="7" t="s">
        <v>6</v>
      </c>
      <c r="J739" s="8" t="str">
        <f>L739&amp;" of "&amp;$G$1</f>
        <v>14 of 15</v>
      </c>
      <c r="K739" s="15"/>
      <c r="L739" s="18">
        <f>SUM($M$1:M738)</f>
        <v>14</v>
      </c>
      <c r="M739" s="9"/>
      <c r="N739" s="9"/>
      <c r="O739" s="9"/>
      <c r="P739" s="9"/>
      <c r="Q739" s="33"/>
      <c r="R739" s="33"/>
      <c r="S739" s="31"/>
    </row>
    <row r="740" spans="1:21" x14ac:dyDescent="0.3">
      <c r="E740" s="7" t="s">
        <v>131</v>
      </c>
      <c r="F740" s="15" t="str">
        <f>$C$5</f>
        <v>STANDARD SPREADSHEET METHOD</v>
      </c>
      <c r="G740" s="5"/>
      <c r="H740" s="5"/>
      <c r="I740" s="19"/>
      <c r="J740" s="8"/>
      <c r="K740" s="5"/>
      <c r="L740" s="5"/>
      <c r="M740" s="9"/>
      <c r="N740" s="9"/>
      <c r="O740" s="9"/>
      <c r="P740" s="9"/>
      <c r="Q740" s="33"/>
      <c r="R740" s="33"/>
      <c r="S740" s="31"/>
    </row>
    <row r="741" spans="1:21" ht="13.5" customHeight="1" x14ac:dyDescent="0.3">
      <c r="A741" s="190"/>
      <c r="B741" s="21" t="str">
        <f>$G$4</f>
        <v>SIMPLE LANDING GEAR LOADS</v>
      </c>
      <c r="C741" s="190"/>
      <c r="D741" s="190"/>
      <c r="E741" s="190"/>
      <c r="F741" s="190"/>
      <c r="G741" s="190"/>
      <c r="H741" s="190"/>
      <c r="I741" s="190"/>
      <c r="J741" s="190"/>
      <c r="K741" s="190"/>
      <c r="L741" s="191"/>
      <c r="M741" s="192"/>
      <c r="N741" s="192"/>
      <c r="O741" s="192"/>
      <c r="P741" s="192"/>
      <c r="Q741" s="33"/>
      <c r="R741" s="33"/>
      <c r="S741" s="31"/>
    </row>
    <row r="742" spans="1:21" x14ac:dyDescent="0.3">
      <c r="A742" s="37"/>
      <c r="B742" s="26" t="s">
        <v>95</v>
      </c>
      <c r="O742" s="32"/>
      <c r="P742" s="31"/>
      <c r="Q742" s="33"/>
      <c r="R742" s="33"/>
      <c r="S742" s="31"/>
    </row>
    <row r="743" spans="1:21" ht="4.5" customHeight="1" x14ac:dyDescent="0.3">
      <c r="A743" s="37"/>
      <c r="B743" s="26"/>
      <c r="O743" s="32"/>
      <c r="P743" s="31"/>
      <c r="Q743" s="33"/>
      <c r="R743" s="33"/>
      <c r="S743" s="31"/>
    </row>
    <row r="744" spans="1:21" x14ac:dyDescent="0.3">
      <c r="B744" s="27" t="s">
        <v>96</v>
      </c>
      <c r="F744" s="54"/>
      <c r="G744" s="54"/>
      <c r="O744" s="32"/>
      <c r="P744" s="31"/>
      <c r="Q744" s="33"/>
      <c r="R744" s="33"/>
      <c r="S744" s="31"/>
    </row>
    <row r="745" spans="1:21" x14ac:dyDescent="0.3">
      <c r="B745" s="72"/>
      <c r="C745" s="215" t="s">
        <v>97</v>
      </c>
      <c r="D745" s="216"/>
      <c r="E745" s="216"/>
      <c r="F745" s="216"/>
      <c r="G745" s="216"/>
      <c r="H745" s="216"/>
      <c r="I745" s="217" t="s">
        <v>98</v>
      </c>
      <c r="J745" s="218"/>
      <c r="K745" s="219"/>
      <c r="O745" s="32"/>
      <c r="P745" s="31"/>
      <c r="Q745" s="33"/>
      <c r="R745" s="33"/>
      <c r="S745" s="31"/>
    </row>
    <row r="746" spans="1:21" x14ac:dyDescent="0.3">
      <c r="B746" s="72"/>
      <c r="C746" s="217" t="s">
        <v>99</v>
      </c>
      <c r="D746" s="218"/>
      <c r="E746" s="219"/>
      <c r="F746" s="217" t="s">
        <v>100</v>
      </c>
      <c r="G746" s="218"/>
      <c r="H746" s="218"/>
      <c r="I746" s="139"/>
      <c r="J746" s="140"/>
      <c r="K746" s="141"/>
      <c r="L746" s="27"/>
      <c r="N746" s="34"/>
      <c r="O746" s="32"/>
      <c r="P746" s="31"/>
      <c r="Q746" s="33"/>
      <c r="R746" s="33"/>
      <c r="S746" s="31"/>
    </row>
    <row r="747" spans="1:21" x14ac:dyDescent="0.3">
      <c r="B747" s="72"/>
      <c r="C747" s="29" t="s">
        <v>101</v>
      </c>
      <c r="D747" s="142" t="s">
        <v>102</v>
      </c>
      <c r="E747" s="28" t="s">
        <v>103</v>
      </c>
      <c r="F747" s="29" t="s">
        <v>101</v>
      </c>
      <c r="G747" s="142" t="s">
        <v>102</v>
      </c>
      <c r="H747" s="142" t="s">
        <v>103</v>
      </c>
      <c r="I747" s="29" t="s">
        <v>101</v>
      </c>
      <c r="J747" s="142" t="s">
        <v>102</v>
      </c>
      <c r="K747" s="28" t="s">
        <v>103</v>
      </c>
      <c r="L747" s="27"/>
      <c r="N747" s="34"/>
      <c r="O747" s="32"/>
      <c r="P747" s="31"/>
      <c r="Q747" s="33"/>
      <c r="R747" s="33"/>
      <c r="S747" s="31"/>
    </row>
    <row r="748" spans="1:21" ht="15" x14ac:dyDescent="0.35">
      <c r="B748" s="72"/>
      <c r="C748" s="33" t="s">
        <v>151</v>
      </c>
      <c r="D748" s="56" t="s">
        <v>152</v>
      </c>
      <c r="E748" s="32" t="s">
        <v>153</v>
      </c>
      <c r="F748" s="33" t="s">
        <v>151</v>
      </c>
      <c r="G748" s="56" t="s">
        <v>152</v>
      </c>
      <c r="H748" s="32" t="s">
        <v>153</v>
      </c>
      <c r="I748" s="33" t="s">
        <v>154</v>
      </c>
      <c r="J748" s="56" t="s">
        <v>155</v>
      </c>
      <c r="K748" s="32" t="s">
        <v>156</v>
      </c>
      <c r="L748" s="27"/>
      <c r="N748" s="34"/>
      <c r="O748" s="32"/>
      <c r="P748" s="31"/>
      <c r="Q748" s="33"/>
      <c r="R748" s="33"/>
      <c r="S748" s="31"/>
    </row>
    <row r="749" spans="1:21" x14ac:dyDescent="0.3">
      <c r="B749" s="72"/>
      <c r="C749" s="143" t="s">
        <v>104</v>
      </c>
      <c r="D749" s="109" t="s">
        <v>104</v>
      </c>
      <c r="E749" s="144" t="s">
        <v>104</v>
      </c>
      <c r="F749" s="143" t="s">
        <v>104</v>
      </c>
      <c r="G749" s="109" t="s">
        <v>104</v>
      </c>
      <c r="H749" s="109" t="s">
        <v>104</v>
      </c>
      <c r="I749" s="143" t="s">
        <v>104</v>
      </c>
      <c r="J749" s="109" t="s">
        <v>104</v>
      </c>
      <c r="K749" s="144" t="s">
        <v>104</v>
      </c>
      <c r="L749" s="27"/>
      <c r="N749" s="34"/>
      <c r="O749" s="32"/>
      <c r="P749" s="31"/>
      <c r="Q749" s="33"/>
      <c r="R749" s="33"/>
      <c r="S749" s="31"/>
    </row>
    <row r="750" spans="1:21" x14ac:dyDescent="0.3">
      <c r="A750" s="29" t="s">
        <v>105</v>
      </c>
      <c r="B750" s="145" t="s">
        <v>106</v>
      </c>
      <c r="C750" s="146">
        <f>E316</f>
        <v>2316.4781898797091</v>
      </c>
      <c r="D750" s="147"/>
      <c r="E750" s="148">
        <f>E314</f>
        <v>5382.1726198332026</v>
      </c>
      <c r="F750" s="146">
        <f>E316</f>
        <v>2316.4781898797091</v>
      </c>
      <c r="G750" s="149"/>
      <c r="H750" s="149">
        <f>E314</f>
        <v>5382.1726198332026</v>
      </c>
      <c r="I750" s="146">
        <f>E318</f>
        <v>1961.8014477572196</v>
      </c>
      <c r="J750" s="147"/>
      <c r="K750" s="148">
        <f>E317</f>
        <v>4558.1063891718932</v>
      </c>
      <c r="L750" s="27"/>
      <c r="N750" s="34"/>
      <c r="O750" s="32"/>
      <c r="P750" s="31"/>
      <c r="Q750" s="33"/>
      <c r="R750" s="33"/>
      <c r="S750" s="31"/>
      <c r="U750" s="30">
        <v>1</v>
      </c>
    </row>
    <row r="751" spans="1:21" x14ac:dyDescent="0.3">
      <c r="A751" s="33" t="s">
        <v>105</v>
      </c>
      <c r="B751" s="47" t="s">
        <v>107</v>
      </c>
      <c r="C751" s="150">
        <f>E325</f>
        <v>2457.5926055855252</v>
      </c>
      <c r="D751" s="151"/>
      <c r="E751" s="152">
        <f>E323</f>
        <v>5710.0419465524164</v>
      </c>
      <c r="F751" s="153">
        <f>E325</f>
        <v>2457.5926055855252</v>
      </c>
      <c r="G751" s="151"/>
      <c r="H751" s="154">
        <f>E323</f>
        <v>5710.0419465524164</v>
      </c>
      <c r="I751" s="150">
        <f>E327</f>
        <v>1261.5617825224567</v>
      </c>
      <c r="J751" s="151"/>
      <c r="K751" s="152">
        <f>E326</f>
        <v>2931.1492392997343</v>
      </c>
      <c r="L751" s="27"/>
      <c r="N751" s="34"/>
      <c r="O751" s="32"/>
      <c r="P751" s="31"/>
      <c r="Q751" s="33"/>
      <c r="R751" s="33"/>
      <c r="S751" s="31"/>
      <c r="U751" s="30">
        <v>2</v>
      </c>
    </row>
    <row r="752" spans="1:21" x14ac:dyDescent="0.3">
      <c r="A752" s="33" t="s">
        <v>105</v>
      </c>
      <c r="B752" s="47" t="s">
        <v>108</v>
      </c>
      <c r="C752" s="150">
        <f>E334</f>
        <v>1947.394929913047</v>
      </c>
      <c r="D752" s="151"/>
      <c r="E752" s="152">
        <f>E332</f>
        <v>4524.6338677267113</v>
      </c>
      <c r="F752" s="153">
        <f>E334</f>
        <v>1947.394929913047</v>
      </c>
      <c r="G752" s="151"/>
      <c r="H752" s="154">
        <f>E332</f>
        <v>4524.6338677267113</v>
      </c>
      <c r="I752" s="150">
        <f>E336</f>
        <v>1080.7657310302857</v>
      </c>
      <c r="J752" s="151"/>
      <c r="K752" s="152">
        <f>E335</f>
        <v>2511.0824489598499</v>
      </c>
      <c r="L752" s="27"/>
      <c r="N752" s="34"/>
      <c r="O752" s="32"/>
      <c r="P752" s="31"/>
      <c r="Q752" s="33"/>
      <c r="R752" s="33"/>
      <c r="S752" s="31"/>
      <c r="U752" s="30">
        <v>3</v>
      </c>
    </row>
    <row r="753" spans="1:21" x14ac:dyDescent="0.3">
      <c r="A753" s="155" t="s">
        <v>105</v>
      </c>
      <c r="B753" s="156" t="s">
        <v>109</v>
      </c>
      <c r="C753" s="157">
        <f>E343</f>
        <v>2792.425547071462</v>
      </c>
      <c r="D753" s="158"/>
      <c r="E753" s="159">
        <f>E341</f>
        <v>6488.002515210912</v>
      </c>
      <c r="F753" s="160">
        <f>E343</f>
        <v>2792.425547071462</v>
      </c>
      <c r="G753" s="158"/>
      <c r="H753" s="161">
        <f>E341</f>
        <v>6488.002515210912</v>
      </c>
      <c r="I753" s="157">
        <f>E345</f>
        <v>2211.0981362108432</v>
      </c>
      <c r="J753" s="158"/>
      <c r="K753" s="159">
        <f>E344</f>
        <v>5137.3295464077728</v>
      </c>
      <c r="L753" s="27"/>
      <c r="N753" s="34"/>
      <c r="O753" s="32"/>
      <c r="P753" s="31"/>
      <c r="Q753" s="33"/>
      <c r="R753" s="33"/>
      <c r="S753" s="31"/>
      <c r="U753" s="30">
        <v>4</v>
      </c>
    </row>
    <row r="754" spans="1:21" x14ac:dyDescent="0.3">
      <c r="A754" s="29" t="s">
        <v>110</v>
      </c>
      <c r="B754" s="145" t="s">
        <v>106</v>
      </c>
      <c r="C754" s="146">
        <f>E360</f>
        <v>3297.3789137583194</v>
      </c>
      <c r="D754" s="147"/>
      <c r="E754" s="148">
        <f>E358</f>
        <v>7661.2258144191501</v>
      </c>
      <c r="F754" s="162">
        <f>E360</f>
        <v>3297.3789137583194</v>
      </c>
      <c r="G754" s="147"/>
      <c r="H754" s="149">
        <f>E358</f>
        <v>7661.2258144191501</v>
      </c>
      <c r="I754" s="163"/>
      <c r="J754" s="147"/>
      <c r="K754" s="164"/>
      <c r="L754" s="27"/>
      <c r="N754" s="34"/>
      <c r="O754" s="32"/>
      <c r="P754" s="31"/>
      <c r="Q754" s="33"/>
      <c r="R754" s="33"/>
      <c r="S754" s="31"/>
      <c r="U754" s="30">
        <v>5</v>
      </c>
    </row>
    <row r="755" spans="1:21" x14ac:dyDescent="0.3">
      <c r="A755" s="33" t="s">
        <v>110</v>
      </c>
      <c r="B755" s="47" t="s">
        <v>107</v>
      </c>
      <c r="C755" s="150">
        <f>E371</f>
        <v>3088.3734968467534</v>
      </c>
      <c r="D755" s="151"/>
      <c r="E755" s="152">
        <f>E369</f>
        <v>7175.6165662022831</v>
      </c>
      <c r="F755" s="150">
        <f>E371</f>
        <v>3088.3734968467534</v>
      </c>
      <c r="G755" s="151"/>
      <c r="H755" s="154">
        <f>E369</f>
        <v>7175.6165662022831</v>
      </c>
      <c r="I755" s="165"/>
      <c r="J755" s="151"/>
      <c r="K755" s="166"/>
      <c r="L755" s="27"/>
      <c r="N755" s="34"/>
      <c r="O755" s="32"/>
      <c r="P755" s="31"/>
      <c r="Q755" s="33"/>
      <c r="R755" s="33"/>
      <c r="S755" s="31"/>
      <c r="U755" s="30">
        <v>6</v>
      </c>
    </row>
    <row r="756" spans="1:21" x14ac:dyDescent="0.3">
      <c r="A756" s="33" t="s">
        <v>110</v>
      </c>
      <c r="B756" s="47" t="s">
        <v>108</v>
      </c>
      <c r="C756" s="150">
        <f>E382</f>
        <v>2487.7777954281896</v>
      </c>
      <c r="D756" s="151"/>
      <c r="E756" s="152">
        <f>E380</f>
        <v>5780.1750922066358</v>
      </c>
      <c r="F756" s="150">
        <f>E382</f>
        <v>2487.7777954281896</v>
      </c>
      <c r="G756" s="151"/>
      <c r="H756" s="154">
        <f>E380</f>
        <v>5780.1750922066358</v>
      </c>
      <c r="I756" s="165"/>
      <c r="J756" s="151"/>
      <c r="K756" s="166"/>
      <c r="L756" s="27"/>
      <c r="N756" s="34"/>
      <c r="O756" s="32"/>
      <c r="P756" s="31"/>
      <c r="Q756" s="33"/>
      <c r="R756" s="33"/>
      <c r="S756" s="31"/>
      <c r="U756" s="30">
        <v>7</v>
      </c>
    </row>
    <row r="757" spans="1:21" x14ac:dyDescent="0.3">
      <c r="A757" s="155" t="s">
        <v>110</v>
      </c>
      <c r="B757" s="156" t="s">
        <v>109</v>
      </c>
      <c r="C757" s="157">
        <f>E393</f>
        <v>3897.9746151768832</v>
      </c>
      <c r="D757" s="158"/>
      <c r="E757" s="159">
        <f>E391</f>
        <v>9056.6672884147974</v>
      </c>
      <c r="F757" s="160">
        <f>E393</f>
        <v>3897.9746151768832</v>
      </c>
      <c r="G757" s="158"/>
      <c r="H757" s="161">
        <f>E391</f>
        <v>9056.6672884147974</v>
      </c>
      <c r="I757" s="167"/>
      <c r="J757" s="158"/>
      <c r="K757" s="168"/>
      <c r="L757" s="27"/>
      <c r="N757" s="34"/>
      <c r="O757" s="32"/>
      <c r="P757" s="31"/>
      <c r="Q757" s="33"/>
      <c r="R757" s="33"/>
      <c r="S757" s="31"/>
      <c r="U757" s="30">
        <v>8</v>
      </c>
    </row>
    <row r="758" spans="1:21" x14ac:dyDescent="0.3">
      <c r="A758" s="29">
        <v>23.481000000000002</v>
      </c>
      <c r="B758" s="145" t="s">
        <v>106</v>
      </c>
      <c r="C758" s="163"/>
      <c r="D758" s="147"/>
      <c r="E758" s="148">
        <f>E429</f>
        <v>7661.2258144191501</v>
      </c>
      <c r="F758" s="163"/>
      <c r="G758" s="147"/>
      <c r="H758" s="149">
        <f>E758</f>
        <v>7661.2258144191501</v>
      </c>
      <c r="I758" s="163"/>
      <c r="J758" s="147"/>
      <c r="K758" s="164"/>
      <c r="L758" s="27"/>
      <c r="N758" s="34"/>
      <c r="O758" s="32"/>
      <c r="P758" s="31"/>
      <c r="Q758" s="33"/>
      <c r="R758" s="33"/>
      <c r="S758" s="31"/>
      <c r="U758" s="30">
        <v>9</v>
      </c>
    </row>
    <row r="759" spans="1:21" x14ac:dyDescent="0.3">
      <c r="A759" s="33">
        <v>23.481000000000002</v>
      </c>
      <c r="B759" s="47" t="s">
        <v>107</v>
      </c>
      <c r="C759" s="165"/>
      <c r="D759" s="151"/>
      <c r="E759" s="152">
        <f>E452</f>
        <v>7175.6165662022831</v>
      </c>
      <c r="F759" s="169"/>
      <c r="G759" s="151"/>
      <c r="H759" s="154">
        <f>E759</f>
        <v>7175.6165662022831</v>
      </c>
      <c r="I759" s="165"/>
      <c r="J759" s="151"/>
      <c r="K759" s="166"/>
      <c r="L759" s="27"/>
      <c r="N759" s="34"/>
      <c r="O759" s="32"/>
      <c r="P759" s="31"/>
      <c r="Q759" s="33"/>
      <c r="R759" s="33"/>
      <c r="S759" s="31"/>
      <c r="U759" s="30">
        <v>10</v>
      </c>
    </row>
    <row r="760" spans="1:21" x14ac:dyDescent="0.3">
      <c r="A760" s="33">
        <v>23.481000000000002</v>
      </c>
      <c r="B760" s="47" t="s">
        <v>108</v>
      </c>
      <c r="C760" s="165"/>
      <c r="D760" s="151"/>
      <c r="E760" s="152">
        <f>E482</f>
        <v>5780.1750922066358</v>
      </c>
      <c r="F760" s="169"/>
      <c r="G760" s="151"/>
      <c r="H760" s="154">
        <f>E760</f>
        <v>5780.1750922066358</v>
      </c>
      <c r="I760" s="165"/>
      <c r="J760" s="151"/>
      <c r="K760" s="166"/>
      <c r="O760" s="32"/>
      <c r="P760" s="31"/>
      <c r="Q760" s="33"/>
      <c r="R760" s="33"/>
      <c r="S760" s="31"/>
      <c r="U760" s="30">
        <v>11</v>
      </c>
    </row>
    <row r="761" spans="1:21" x14ac:dyDescent="0.3">
      <c r="A761" s="155">
        <v>23.481000000000002</v>
      </c>
      <c r="B761" s="156" t="s">
        <v>109</v>
      </c>
      <c r="C761" s="167"/>
      <c r="D761" s="158"/>
      <c r="E761" s="159">
        <f>E507</f>
        <v>9056.6672884147974</v>
      </c>
      <c r="F761" s="167"/>
      <c r="G761" s="158"/>
      <c r="H761" s="161">
        <f>E761</f>
        <v>9056.6672884147974</v>
      </c>
      <c r="I761" s="167"/>
      <c r="J761" s="158"/>
      <c r="K761" s="168"/>
      <c r="O761" s="32"/>
      <c r="P761" s="31"/>
      <c r="Q761" s="33"/>
      <c r="R761" s="33"/>
      <c r="S761" s="31"/>
      <c r="U761" s="30">
        <v>12</v>
      </c>
    </row>
    <row r="762" spans="1:21" x14ac:dyDescent="0.3">
      <c r="A762" s="29" t="s">
        <v>111</v>
      </c>
      <c r="B762" s="145" t="s">
        <v>106</v>
      </c>
      <c r="C762" s="170">
        <f>D528</f>
        <v>2316.4781898797091</v>
      </c>
      <c r="D762" s="147"/>
      <c r="E762" s="148">
        <f>D527</f>
        <v>5382.1726198332026</v>
      </c>
      <c r="F762" s="171" t="s">
        <v>112</v>
      </c>
      <c r="G762" s="147"/>
      <c r="H762" s="147"/>
      <c r="I762" s="163"/>
      <c r="J762" s="147"/>
      <c r="K762" s="164"/>
      <c r="O762" s="32"/>
      <c r="P762" s="31"/>
      <c r="Q762" s="33"/>
      <c r="R762" s="33"/>
      <c r="S762" s="31"/>
      <c r="U762" s="30">
        <v>13</v>
      </c>
    </row>
    <row r="763" spans="1:21" x14ac:dyDescent="0.3">
      <c r="A763" s="33">
        <v>23.483000000000001</v>
      </c>
      <c r="B763" s="47" t="s">
        <v>106</v>
      </c>
      <c r="C763" s="172">
        <f>D532</f>
        <v>3297.3789137583194</v>
      </c>
      <c r="D763" s="56"/>
      <c r="E763" s="173">
        <f>D531</f>
        <v>7661.2258144191501</v>
      </c>
      <c r="F763" s="174" t="s">
        <v>112</v>
      </c>
      <c r="G763" s="56"/>
      <c r="H763" s="56"/>
      <c r="I763" s="33"/>
      <c r="J763" s="56"/>
      <c r="K763" s="32"/>
      <c r="O763" s="32"/>
      <c r="P763" s="31"/>
      <c r="Q763" s="33"/>
      <c r="R763" s="33"/>
      <c r="S763" s="31"/>
      <c r="U763" s="30">
        <v>14</v>
      </c>
    </row>
    <row r="764" spans="1:21" x14ac:dyDescent="0.3">
      <c r="A764" s="33" t="s">
        <v>111</v>
      </c>
      <c r="B764" s="47" t="s">
        <v>107</v>
      </c>
      <c r="C764" s="175">
        <f>D538</f>
        <v>2457.5926055855252</v>
      </c>
      <c r="D764" s="151"/>
      <c r="E764" s="152">
        <f>D537</f>
        <v>5710.0419465524164</v>
      </c>
      <c r="F764" s="174" t="s">
        <v>112</v>
      </c>
      <c r="G764" s="151"/>
      <c r="H764" s="151"/>
      <c r="I764" s="165"/>
      <c r="J764" s="151"/>
      <c r="K764" s="166"/>
      <c r="O764" s="32"/>
      <c r="P764" s="31"/>
      <c r="Q764" s="33"/>
      <c r="R764" s="33"/>
      <c r="S764" s="31"/>
      <c r="U764" s="30">
        <v>15</v>
      </c>
    </row>
    <row r="765" spans="1:21" x14ac:dyDescent="0.3">
      <c r="A765" s="33">
        <v>23.483000000000001</v>
      </c>
      <c r="B765" s="47" t="s">
        <v>107</v>
      </c>
      <c r="C765" s="172">
        <f>D542</f>
        <v>3088.3734968467534</v>
      </c>
      <c r="D765" s="56"/>
      <c r="E765" s="173">
        <f>D541</f>
        <v>7175.6165662022831</v>
      </c>
      <c r="F765" s="174" t="s">
        <v>112</v>
      </c>
      <c r="G765" s="56"/>
      <c r="H765" s="56"/>
      <c r="I765" s="33"/>
      <c r="J765" s="56"/>
      <c r="K765" s="32"/>
      <c r="O765" s="32"/>
      <c r="P765" s="31"/>
      <c r="Q765" s="33"/>
      <c r="R765" s="33"/>
      <c r="S765" s="31"/>
      <c r="U765" s="30">
        <v>16</v>
      </c>
    </row>
    <row r="766" spans="1:21" x14ac:dyDescent="0.3">
      <c r="A766" s="33" t="s">
        <v>111</v>
      </c>
      <c r="B766" s="47" t="s">
        <v>108</v>
      </c>
      <c r="C766" s="175">
        <f>D548</f>
        <v>1947.394929913047</v>
      </c>
      <c r="D766" s="151"/>
      <c r="E766" s="152">
        <f>D547</f>
        <v>4524.6338677267113</v>
      </c>
      <c r="F766" s="174" t="s">
        <v>112</v>
      </c>
      <c r="G766" s="151"/>
      <c r="H766" s="151"/>
      <c r="I766" s="165"/>
      <c r="J766" s="151"/>
      <c r="K766" s="166"/>
      <c r="O766" s="32"/>
      <c r="P766" s="31"/>
      <c r="Q766" s="33"/>
      <c r="R766" s="33"/>
      <c r="S766" s="31"/>
      <c r="U766" s="30">
        <v>17</v>
      </c>
    </row>
    <row r="767" spans="1:21" x14ac:dyDescent="0.3">
      <c r="A767" s="33">
        <v>23.483000000000001</v>
      </c>
      <c r="B767" s="47" t="s">
        <v>108</v>
      </c>
      <c r="C767" s="172">
        <f>D552</f>
        <v>2487.7777954281896</v>
      </c>
      <c r="D767" s="56"/>
      <c r="E767" s="173">
        <f>D551</f>
        <v>5780.1750922066358</v>
      </c>
      <c r="F767" s="174" t="s">
        <v>112</v>
      </c>
      <c r="G767" s="56"/>
      <c r="H767" s="56"/>
      <c r="I767" s="33"/>
      <c r="J767" s="56"/>
      <c r="K767" s="32"/>
      <c r="O767" s="32"/>
      <c r="P767" s="31"/>
      <c r="Q767" s="33"/>
      <c r="R767" s="33"/>
      <c r="S767" s="31"/>
      <c r="U767" s="30">
        <v>18</v>
      </c>
    </row>
    <row r="768" spans="1:21" x14ac:dyDescent="0.3">
      <c r="A768" s="33" t="s">
        <v>111</v>
      </c>
      <c r="B768" s="47" t="s">
        <v>109</v>
      </c>
      <c r="C768" s="175">
        <f>D558</f>
        <v>2792.425547071462</v>
      </c>
      <c r="D768" s="151"/>
      <c r="E768" s="152">
        <f>D557</f>
        <v>6488.002515210912</v>
      </c>
      <c r="F768" s="174" t="s">
        <v>112</v>
      </c>
      <c r="G768" s="151"/>
      <c r="H768" s="151"/>
      <c r="I768" s="165"/>
      <c r="J768" s="151"/>
      <c r="K768" s="166"/>
      <c r="O768" s="32"/>
      <c r="P768" s="31"/>
      <c r="Q768" s="33"/>
      <c r="R768" s="33"/>
      <c r="S768" s="31"/>
      <c r="U768" s="30">
        <v>19</v>
      </c>
    </row>
    <row r="769" spans="1:21" x14ac:dyDescent="0.3">
      <c r="A769" s="155">
        <v>23.483000000000001</v>
      </c>
      <c r="B769" s="156" t="s">
        <v>109</v>
      </c>
      <c r="C769" s="176">
        <f>D562</f>
        <v>3897.9746151768832</v>
      </c>
      <c r="D769" s="158"/>
      <c r="E769" s="159">
        <f>D561</f>
        <v>9056.6672884147974</v>
      </c>
      <c r="F769" s="177" t="s">
        <v>112</v>
      </c>
      <c r="G769" s="158"/>
      <c r="H769" s="158"/>
      <c r="I769" s="167"/>
      <c r="J769" s="158"/>
      <c r="K769" s="168"/>
      <c r="O769" s="32"/>
      <c r="P769" s="31"/>
      <c r="Q769" s="33"/>
      <c r="R769" s="33"/>
      <c r="S769" s="31"/>
      <c r="U769" s="30">
        <v>20</v>
      </c>
    </row>
    <row r="770" spans="1:21" x14ac:dyDescent="0.3">
      <c r="A770" s="29">
        <v>23.484999999999999</v>
      </c>
      <c r="B770" s="145" t="s">
        <v>106</v>
      </c>
      <c r="C770" s="163"/>
      <c r="D770" s="149">
        <f>D584</f>
        <v>2834.3249999999998</v>
      </c>
      <c r="E770" s="148">
        <f>D583</f>
        <v>3769.6522500000001</v>
      </c>
      <c r="F770" s="163"/>
      <c r="G770" s="149">
        <f>D585</f>
        <v>1870.6544999999999</v>
      </c>
      <c r="H770" s="149">
        <f>E770</f>
        <v>3769.6522500000001</v>
      </c>
      <c r="I770" s="163"/>
      <c r="J770" s="147"/>
      <c r="K770" s="164"/>
      <c r="O770" s="32"/>
      <c r="P770" s="31"/>
      <c r="Q770" s="33"/>
      <c r="R770" s="33"/>
      <c r="S770" s="31"/>
      <c r="U770" s="30">
        <v>21</v>
      </c>
    </row>
    <row r="771" spans="1:21" x14ac:dyDescent="0.3">
      <c r="A771" s="33">
        <v>23.484999999999999</v>
      </c>
      <c r="B771" s="47" t="s">
        <v>106</v>
      </c>
      <c r="C771" s="165"/>
      <c r="D771" s="154">
        <f>-G770</f>
        <v>-1870.6544999999999</v>
      </c>
      <c r="E771" s="152">
        <f>E770</f>
        <v>3769.6522500000001</v>
      </c>
      <c r="F771" s="165"/>
      <c r="G771" s="154">
        <f>-D770</f>
        <v>-2834.3249999999998</v>
      </c>
      <c r="H771" s="154">
        <f>H770</f>
        <v>3769.6522500000001</v>
      </c>
      <c r="I771" s="165"/>
      <c r="J771" s="151"/>
      <c r="K771" s="166"/>
      <c r="O771" s="32"/>
      <c r="P771" s="31"/>
      <c r="Q771" s="33"/>
      <c r="R771" s="33"/>
      <c r="S771" s="31"/>
      <c r="U771" s="30">
        <v>22</v>
      </c>
    </row>
    <row r="772" spans="1:21" x14ac:dyDescent="0.3">
      <c r="A772" s="33">
        <v>23.484999999999999</v>
      </c>
      <c r="B772" s="47" t="s">
        <v>107</v>
      </c>
      <c r="C772" s="165"/>
      <c r="D772" s="154">
        <f>D592</f>
        <v>3484.3249999999998</v>
      </c>
      <c r="E772" s="152">
        <f>D591</f>
        <v>4634.1522500000001</v>
      </c>
      <c r="F772" s="175"/>
      <c r="G772" s="154">
        <f>D593</f>
        <v>2299.6545000000001</v>
      </c>
      <c r="H772" s="154">
        <f>E772</f>
        <v>4634.1522500000001</v>
      </c>
      <c r="I772" s="165"/>
      <c r="J772" s="151"/>
      <c r="K772" s="166"/>
      <c r="O772" s="32"/>
      <c r="P772" s="31"/>
      <c r="Q772" s="33"/>
      <c r="R772" s="33"/>
      <c r="S772" s="31"/>
      <c r="U772" s="30">
        <v>23</v>
      </c>
    </row>
    <row r="773" spans="1:21" x14ac:dyDescent="0.3">
      <c r="A773" s="33">
        <v>23.484999999999999</v>
      </c>
      <c r="B773" s="47" t="s">
        <v>107</v>
      </c>
      <c r="C773" s="165"/>
      <c r="D773" s="154">
        <f>-G772</f>
        <v>-2299.6545000000001</v>
      </c>
      <c r="E773" s="152">
        <f>E772</f>
        <v>4634.1522500000001</v>
      </c>
      <c r="F773" s="165"/>
      <c r="G773" s="154">
        <f>-D772</f>
        <v>-3484.3249999999998</v>
      </c>
      <c r="H773" s="154">
        <f>H772</f>
        <v>4634.1522500000001</v>
      </c>
      <c r="I773" s="165"/>
      <c r="J773" s="151"/>
      <c r="K773" s="166"/>
      <c r="O773" s="32"/>
      <c r="P773" s="31"/>
      <c r="Q773" s="33"/>
      <c r="R773" s="33"/>
      <c r="S773" s="31"/>
      <c r="U773" s="30">
        <v>24</v>
      </c>
    </row>
    <row r="774" spans="1:21" x14ac:dyDescent="0.3">
      <c r="A774" s="33">
        <v>23.484999999999999</v>
      </c>
      <c r="B774" s="47" t="s">
        <v>108</v>
      </c>
      <c r="C774" s="178"/>
      <c r="D774" s="154">
        <f>D600</f>
        <v>2415.8249999999998</v>
      </c>
      <c r="E774" s="152">
        <f>D599</f>
        <v>3213.0472500000001</v>
      </c>
      <c r="F774" s="175"/>
      <c r="G774" s="154">
        <f>D601</f>
        <v>1594.4445000000001</v>
      </c>
      <c r="H774" s="154">
        <f>D599</f>
        <v>3213.0472500000001</v>
      </c>
      <c r="I774" s="165"/>
      <c r="J774" s="151"/>
      <c r="K774" s="166"/>
      <c r="O774" s="32"/>
      <c r="P774" s="31"/>
      <c r="Q774" s="33"/>
      <c r="R774" s="33"/>
      <c r="S774" s="31"/>
      <c r="U774" s="30">
        <v>25</v>
      </c>
    </row>
    <row r="775" spans="1:21" x14ac:dyDescent="0.3">
      <c r="A775" s="33">
        <v>23.484999999999999</v>
      </c>
      <c r="B775" s="47" t="s">
        <v>108</v>
      </c>
      <c r="C775" s="165"/>
      <c r="D775" s="154">
        <f>-G774</f>
        <v>-1594.4445000000001</v>
      </c>
      <c r="E775" s="152">
        <f>E774</f>
        <v>3213.0472500000001</v>
      </c>
      <c r="F775" s="165"/>
      <c r="G775" s="154">
        <f>-D774</f>
        <v>-2415.8249999999998</v>
      </c>
      <c r="H775" s="154">
        <f>H774</f>
        <v>3213.0472500000001</v>
      </c>
      <c r="I775" s="165"/>
      <c r="J775" s="151"/>
      <c r="K775" s="166"/>
      <c r="O775" s="32"/>
      <c r="P775" s="31"/>
      <c r="Q775" s="33"/>
      <c r="R775" s="33"/>
      <c r="S775" s="31"/>
      <c r="U775" s="30">
        <v>26</v>
      </c>
    </row>
    <row r="776" spans="1:21" x14ac:dyDescent="0.3">
      <c r="A776" s="33">
        <v>23.484999999999999</v>
      </c>
      <c r="B776" s="47" t="s">
        <v>109</v>
      </c>
      <c r="C776" s="165"/>
      <c r="D776" s="154">
        <f>D608</f>
        <v>3542.2512499999998</v>
      </c>
      <c r="E776" s="152">
        <f>D607</f>
        <v>4711.1941624999999</v>
      </c>
      <c r="F776" s="175"/>
      <c r="G776" s="154">
        <f>D609</f>
        <v>2337.8858249999998</v>
      </c>
      <c r="H776" s="154">
        <f>D607</f>
        <v>4711.1941624999999</v>
      </c>
      <c r="I776" s="165"/>
      <c r="J776" s="151"/>
      <c r="K776" s="166"/>
      <c r="O776" s="32"/>
      <c r="P776" s="31"/>
      <c r="Q776" s="33"/>
      <c r="R776" s="33"/>
      <c r="S776" s="31"/>
      <c r="U776" s="30">
        <v>27</v>
      </c>
    </row>
    <row r="777" spans="1:21" x14ac:dyDescent="0.3">
      <c r="A777" s="155">
        <v>23.484999999999999</v>
      </c>
      <c r="B777" s="156" t="s">
        <v>109</v>
      </c>
      <c r="C777" s="167"/>
      <c r="D777" s="161">
        <f>-G776</f>
        <v>-2337.8858249999998</v>
      </c>
      <c r="E777" s="159">
        <f>E776</f>
        <v>4711.1941624999999</v>
      </c>
      <c r="F777" s="167"/>
      <c r="G777" s="161">
        <f>-D776</f>
        <v>-3542.2512499999998</v>
      </c>
      <c r="H777" s="161">
        <f>H776</f>
        <v>4711.1941624999999</v>
      </c>
      <c r="I777" s="167"/>
      <c r="J777" s="158"/>
      <c r="K777" s="168"/>
      <c r="O777" s="32"/>
      <c r="P777" s="31"/>
      <c r="Q777" s="33"/>
      <c r="R777" s="33"/>
      <c r="S777" s="31"/>
      <c r="U777" s="30">
        <v>28</v>
      </c>
    </row>
    <row r="778" spans="1:21" x14ac:dyDescent="0.3">
      <c r="A778" s="29">
        <v>23.492999999999999</v>
      </c>
      <c r="B778" s="145" t="s">
        <v>106</v>
      </c>
      <c r="C778" s="170">
        <f>E639</f>
        <v>3015.7218000000003</v>
      </c>
      <c r="D778" s="147"/>
      <c r="E778" s="148">
        <f>E638</f>
        <v>3769.6522500000001</v>
      </c>
      <c r="F778" s="170">
        <f>C778</f>
        <v>3015.7218000000003</v>
      </c>
      <c r="G778" s="147"/>
      <c r="H778" s="149">
        <f>E778</f>
        <v>3769.6522500000001</v>
      </c>
      <c r="I778" s="163"/>
      <c r="J778" s="147"/>
      <c r="K778" s="164"/>
      <c r="O778" s="32"/>
      <c r="P778" s="31"/>
      <c r="Q778" s="33"/>
      <c r="R778" s="33"/>
      <c r="S778" s="31"/>
      <c r="U778" s="30">
        <v>29</v>
      </c>
    </row>
    <row r="779" spans="1:21" x14ac:dyDescent="0.3">
      <c r="A779" s="33">
        <v>23.492999999999999</v>
      </c>
      <c r="B779" s="47" t="s">
        <v>107</v>
      </c>
      <c r="C779" s="175">
        <f>E646</f>
        <v>3707.3218000000002</v>
      </c>
      <c r="D779" s="151"/>
      <c r="E779" s="152">
        <f>E645</f>
        <v>4634.1522500000001</v>
      </c>
      <c r="F779" s="175">
        <f>C779</f>
        <v>3707.3218000000002</v>
      </c>
      <c r="G779" s="151"/>
      <c r="H779" s="154">
        <f>E779</f>
        <v>4634.1522500000001</v>
      </c>
      <c r="I779" s="165"/>
      <c r="J779" s="151"/>
      <c r="K779" s="166"/>
      <c r="O779" s="32"/>
      <c r="P779" s="31"/>
      <c r="Q779" s="33"/>
      <c r="R779" s="33"/>
      <c r="S779" s="31"/>
      <c r="U779" s="30">
        <v>30</v>
      </c>
    </row>
    <row r="780" spans="1:21" x14ac:dyDescent="0.3">
      <c r="A780" s="33">
        <v>23.492999999999999</v>
      </c>
      <c r="B780" s="47" t="s">
        <v>108</v>
      </c>
      <c r="C780" s="175">
        <f>E653</f>
        <v>2570.4378000000002</v>
      </c>
      <c r="D780" s="179"/>
      <c r="E780" s="152">
        <f>E652</f>
        <v>3213.0472500000001</v>
      </c>
      <c r="F780" s="175">
        <f>C780</f>
        <v>2570.4378000000002</v>
      </c>
      <c r="G780" s="151"/>
      <c r="H780" s="154">
        <f>E780</f>
        <v>3213.0472500000001</v>
      </c>
      <c r="I780" s="165"/>
      <c r="J780" s="151"/>
      <c r="K780" s="166"/>
      <c r="O780" s="32"/>
      <c r="P780" s="31"/>
      <c r="Q780" s="33"/>
      <c r="R780" s="33"/>
      <c r="S780" s="31"/>
      <c r="U780" s="30">
        <v>31</v>
      </c>
    </row>
    <row r="781" spans="1:21" x14ac:dyDescent="0.3">
      <c r="A781" s="155">
        <v>23.492999999999999</v>
      </c>
      <c r="B781" s="156" t="s">
        <v>109</v>
      </c>
      <c r="C781" s="176">
        <f>E660</f>
        <v>3768.9553300000002</v>
      </c>
      <c r="D781" s="180"/>
      <c r="E781" s="159">
        <f>E659</f>
        <v>4711.1941624999999</v>
      </c>
      <c r="F781" s="176">
        <f>C781</f>
        <v>3768.9553300000002</v>
      </c>
      <c r="G781" s="158"/>
      <c r="H781" s="161">
        <f>E781</f>
        <v>4711.1941624999999</v>
      </c>
      <c r="I781" s="167"/>
      <c r="J781" s="158"/>
      <c r="K781" s="168"/>
      <c r="O781" s="32"/>
      <c r="P781" s="31"/>
      <c r="Q781" s="33"/>
      <c r="R781" s="33"/>
      <c r="S781" s="31"/>
      <c r="U781" s="30">
        <v>32</v>
      </c>
    </row>
    <row r="782" spans="1:21" x14ac:dyDescent="0.3">
      <c r="A782" s="29">
        <v>23.498999999999999</v>
      </c>
      <c r="B782" s="145" t="s">
        <v>106</v>
      </c>
      <c r="C782" s="163"/>
      <c r="D782" s="181"/>
      <c r="E782" s="164"/>
      <c r="F782" s="163"/>
      <c r="G782" s="147"/>
      <c r="H782" s="147"/>
      <c r="I782" s="170">
        <f>C694</f>
        <v>3237.846110645432</v>
      </c>
      <c r="J782" s="147"/>
      <c r="K782" s="148">
        <f>C693</f>
        <v>4047.3076383067896</v>
      </c>
      <c r="O782" s="32"/>
      <c r="P782" s="31"/>
      <c r="Q782" s="33"/>
      <c r="R782" s="33"/>
      <c r="S782" s="31"/>
      <c r="U782" s="30">
        <v>33</v>
      </c>
    </row>
    <row r="783" spans="1:21" x14ac:dyDescent="0.3">
      <c r="A783" s="33">
        <v>23.498999999999999</v>
      </c>
      <c r="B783" s="47" t="s">
        <v>106</v>
      </c>
      <c r="C783" s="165"/>
      <c r="D783" s="179"/>
      <c r="E783" s="166"/>
      <c r="F783" s="165"/>
      <c r="G783" s="151"/>
      <c r="H783" s="151"/>
      <c r="I783" s="175">
        <f>C695</f>
        <v>-719.52135792120714</v>
      </c>
      <c r="J783" s="151"/>
      <c r="K783" s="152">
        <f>K782</f>
        <v>4047.3076383067896</v>
      </c>
      <c r="O783" s="32"/>
      <c r="P783" s="31"/>
      <c r="Q783" s="33"/>
      <c r="R783" s="33"/>
      <c r="S783" s="31"/>
      <c r="U783" s="30">
        <v>34</v>
      </c>
    </row>
    <row r="784" spans="1:21" x14ac:dyDescent="0.3">
      <c r="A784" s="33">
        <v>23.498999999999999</v>
      </c>
      <c r="B784" s="47" t="s">
        <v>106</v>
      </c>
      <c r="C784" s="165"/>
      <c r="D784" s="179"/>
      <c r="E784" s="166"/>
      <c r="F784" s="165"/>
      <c r="G784" s="151"/>
      <c r="H784" s="151"/>
      <c r="I784" s="165"/>
      <c r="J784" s="182">
        <f>C696</f>
        <v>2833.1153468147527</v>
      </c>
      <c r="K784" s="152">
        <f>K783</f>
        <v>4047.3076383067896</v>
      </c>
      <c r="O784" s="32"/>
      <c r="P784" s="31"/>
      <c r="Q784" s="33"/>
      <c r="R784" s="33"/>
      <c r="S784" s="31"/>
      <c r="U784" s="30">
        <v>35</v>
      </c>
    </row>
    <row r="785" spans="1:21" x14ac:dyDescent="0.3">
      <c r="A785" s="33">
        <v>23.498999999999999</v>
      </c>
      <c r="B785" s="47" t="s">
        <v>107</v>
      </c>
      <c r="C785" s="165"/>
      <c r="D785" s="179"/>
      <c r="E785" s="166"/>
      <c r="F785" s="165"/>
      <c r="G785" s="151"/>
      <c r="H785" s="151"/>
      <c r="I785" s="175">
        <f>C702</f>
        <v>1879.5195641240571</v>
      </c>
      <c r="J785" s="151"/>
      <c r="K785" s="152">
        <f>C701</f>
        <v>2349.3994551550713</v>
      </c>
      <c r="O785" s="32"/>
      <c r="P785" s="31"/>
      <c r="Q785" s="33"/>
      <c r="R785" s="33"/>
      <c r="S785" s="31"/>
      <c r="U785" s="30">
        <v>36</v>
      </c>
    </row>
    <row r="786" spans="1:21" x14ac:dyDescent="0.3">
      <c r="A786" s="33">
        <v>23.498999999999999</v>
      </c>
      <c r="B786" s="47" t="s">
        <v>107</v>
      </c>
      <c r="C786" s="165"/>
      <c r="D786" s="179"/>
      <c r="E786" s="166"/>
      <c r="F786" s="165"/>
      <c r="G786" s="151"/>
      <c r="H786" s="151"/>
      <c r="I786" s="175">
        <f>C703</f>
        <v>-417.67101424979046</v>
      </c>
      <c r="J786" s="151"/>
      <c r="K786" s="152">
        <f>K785</f>
        <v>2349.3994551550713</v>
      </c>
      <c r="O786" s="32"/>
      <c r="P786" s="31"/>
      <c r="Q786" s="33"/>
      <c r="R786" s="33"/>
      <c r="S786" s="31"/>
      <c r="U786" s="30">
        <v>37</v>
      </c>
    </row>
    <row r="787" spans="1:21" x14ac:dyDescent="0.3">
      <c r="A787" s="33">
        <v>23.498999999999999</v>
      </c>
      <c r="B787" s="47" t="s">
        <v>107</v>
      </c>
      <c r="C787" s="165"/>
      <c r="D787" s="179"/>
      <c r="E787" s="166"/>
      <c r="F787" s="165"/>
      <c r="G787" s="151"/>
      <c r="H787" s="151"/>
      <c r="I787" s="165"/>
      <c r="J787" s="182">
        <f>C704</f>
        <v>1644.5796186085499</v>
      </c>
      <c r="K787" s="152">
        <f>K785</f>
        <v>2349.3994551550713</v>
      </c>
      <c r="O787" s="32"/>
      <c r="P787" s="31"/>
      <c r="Q787" s="33"/>
      <c r="R787" s="33"/>
      <c r="S787" s="31"/>
      <c r="U787" s="30">
        <v>38</v>
      </c>
    </row>
    <row r="788" spans="1:21" x14ac:dyDescent="0.3">
      <c r="A788" s="33">
        <v>23.498999999999999</v>
      </c>
      <c r="B788" s="47" t="s">
        <v>108</v>
      </c>
      <c r="C788" s="165"/>
      <c r="D788" s="179"/>
      <c r="E788" s="166"/>
      <c r="F788" s="165"/>
      <c r="G788" s="151"/>
      <c r="H788" s="151"/>
      <c r="I788" s="175">
        <f>C710</f>
        <v>1615.4474182732613</v>
      </c>
      <c r="J788" s="151"/>
      <c r="K788" s="152">
        <f>C709</f>
        <v>2019.3092728415766</v>
      </c>
      <c r="O788" s="32"/>
      <c r="P788" s="31"/>
      <c r="Q788" s="33"/>
      <c r="R788" s="33"/>
      <c r="S788" s="31"/>
      <c r="U788" s="30">
        <v>39</v>
      </c>
    </row>
    <row r="789" spans="1:21" x14ac:dyDescent="0.3">
      <c r="A789" s="33">
        <v>23.498999999999999</v>
      </c>
      <c r="B789" s="47" t="s">
        <v>108</v>
      </c>
      <c r="C789" s="165"/>
      <c r="D789" s="151"/>
      <c r="E789" s="166"/>
      <c r="F789" s="169"/>
      <c r="G789" s="151"/>
      <c r="H789" s="151"/>
      <c r="I789" s="175">
        <f>C711</f>
        <v>-358.98831517183589</v>
      </c>
      <c r="J789" s="151"/>
      <c r="K789" s="152">
        <f>K788</f>
        <v>2019.3092728415766</v>
      </c>
      <c r="O789" s="32"/>
      <c r="P789" s="31"/>
      <c r="Q789" s="33"/>
      <c r="R789" s="33"/>
      <c r="S789" s="31"/>
      <c r="U789" s="30">
        <v>40</v>
      </c>
    </row>
    <row r="790" spans="1:21" x14ac:dyDescent="0.3">
      <c r="A790" s="33">
        <v>23.498999999999999</v>
      </c>
      <c r="B790" s="47" t="s">
        <v>108</v>
      </c>
      <c r="C790" s="165"/>
      <c r="D790" s="151"/>
      <c r="E790" s="166"/>
      <c r="F790" s="169"/>
      <c r="G790" s="151"/>
      <c r="H790" s="151"/>
      <c r="I790" s="165"/>
      <c r="J790" s="182">
        <f>C712</f>
        <v>1413.5164909891034</v>
      </c>
      <c r="K790" s="152">
        <f>K789</f>
        <v>2019.3092728415766</v>
      </c>
      <c r="O790" s="32"/>
      <c r="P790" s="31"/>
      <c r="Q790" s="33"/>
      <c r="R790" s="33"/>
      <c r="S790" s="31"/>
      <c r="U790" s="30">
        <v>41</v>
      </c>
    </row>
    <row r="791" spans="1:21" x14ac:dyDescent="0.3">
      <c r="A791" s="33">
        <v>23.498999999999999</v>
      </c>
      <c r="B791" s="47" t="s">
        <v>109</v>
      </c>
      <c r="C791" s="165"/>
      <c r="D791" s="151"/>
      <c r="E791" s="166"/>
      <c r="F791" s="169"/>
      <c r="G791" s="151"/>
      <c r="H791" s="151"/>
      <c r="I791" s="175">
        <f>C718</f>
        <v>3661.1809891031025</v>
      </c>
      <c r="J791" s="151"/>
      <c r="K791" s="152">
        <f>C717</f>
        <v>4576.4762363788777</v>
      </c>
      <c r="O791" s="32"/>
      <c r="P791" s="31"/>
      <c r="Q791" s="33"/>
      <c r="R791" s="33"/>
      <c r="S791" s="31"/>
      <c r="U791" s="30">
        <v>42</v>
      </c>
    </row>
    <row r="792" spans="1:21" x14ac:dyDescent="0.3">
      <c r="A792" s="33">
        <v>23.498999999999999</v>
      </c>
      <c r="B792" s="47" t="s">
        <v>109</v>
      </c>
      <c r="C792" s="165"/>
      <c r="D792" s="151"/>
      <c r="E792" s="166"/>
      <c r="F792" s="169"/>
      <c r="G792" s="151"/>
      <c r="H792" s="151"/>
      <c r="I792" s="175">
        <f>C719</f>
        <v>-813.59577535624487</v>
      </c>
      <c r="J792" s="151"/>
      <c r="K792" s="152">
        <f>K791</f>
        <v>4576.4762363788777</v>
      </c>
      <c r="O792" s="32"/>
      <c r="P792" s="31"/>
      <c r="Q792" s="33"/>
      <c r="R792" s="33"/>
      <c r="S792" s="31"/>
      <c r="U792" s="30">
        <v>43</v>
      </c>
    </row>
    <row r="793" spans="1:21" x14ac:dyDescent="0.3">
      <c r="A793" s="155">
        <v>23.498999999999999</v>
      </c>
      <c r="B793" s="156" t="s">
        <v>109</v>
      </c>
      <c r="C793" s="167"/>
      <c r="D793" s="158"/>
      <c r="E793" s="168"/>
      <c r="F793" s="167"/>
      <c r="G793" s="158"/>
      <c r="H793" s="158"/>
      <c r="I793" s="167"/>
      <c r="J793" s="183">
        <f>C720</f>
        <v>3203.533365465214</v>
      </c>
      <c r="K793" s="159">
        <f>K791</f>
        <v>4576.4762363788777</v>
      </c>
      <c r="O793" s="32"/>
      <c r="P793" s="31"/>
      <c r="Q793" s="33"/>
      <c r="R793" s="33"/>
      <c r="S793" s="31"/>
      <c r="U793" s="30">
        <v>44</v>
      </c>
    </row>
    <row r="794" spans="1:21" x14ac:dyDescent="0.3">
      <c r="A794" s="190"/>
      <c r="B794" s="193"/>
      <c r="C794" s="195"/>
      <c r="D794" s="190"/>
      <c r="E794" s="190"/>
      <c r="F794" s="190"/>
      <c r="G794" s="195"/>
      <c r="H794" s="190"/>
      <c r="I794" s="190"/>
      <c r="J794" s="190"/>
      <c r="K794" s="190"/>
      <c r="O794" s="32"/>
      <c r="P794" s="31"/>
      <c r="Q794" s="33"/>
      <c r="R794" s="33"/>
      <c r="S794" s="31"/>
    </row>
    <row r="795" spans="1:21" x14ac:dyDescent="0.3">
      <c r="A795" s="190"/>
      <c r="B795" s="196"/>
      <c r="C795" s="195"/>
      <c r="D795" s="197"/>
      <c r="E795" s="197"/>
      <c r="F795" s="198" t="s">
        <v>159</v>
      </c>
      <c r="G795" s="195"/>
      <c r="H795" s="197"/>
      <c r="I795" s="197"/>
      <c r="J795" s="197"/>
      <c r="K795" s="190"/>
      <c r="O795" s="32"/>
      <c r="P795" s="31"/>
      <c r="Q795" s="33"/>
      <c r="R795" s="33"/>
      <c r="S795" s="31"/>
    </row>
    <row r="796" spans="1:21" x14ac:dyDescent="0.3">
      <c r="A796" s="190"/>
      <c r="B796" s="197"/>
      <c r="C796" s="197"/>
      <c r="D796" s="197"/>
      <c r="E796" s="197"/>
      <c r="F796" s="199" t="s">
        <v>160</v>
      </c>
      <c r="G796" s="197"/>
      <c r="H796" s="197"/>
      <c r="I796" s="197"/>
      <c r="J796" s="197"/>
      <c r="K796" s="190"/>
      <c r="O796" s="32"/>
      <c r="P796" s="31"/>
      <c r="Q796" s="33"/>
      <c r="R796" s="33"/>
      <c r="S796" s="31"/>
    </row>
    <row r="797" spans="1:21" x14ac:dyDescent="0.3">
      <c r="A797" s="14"/>
      <c r="B797" s="5"/>
      <c r="C797" s="5"/>
      <c r="D797" s="5"/>
      <c r="E797" s="7" t="s">
        <v>1</v>
      </c>
      <c r="F797" s="8" t="str">
        <f>$C$1</f>
        <v>R. Abbott</v>
      </c>
      <c r="G797" s="5"/>
      <c r="H797" s="15"/>
      <c r="I797" s="7" t="s">
        <v>8</v>
      </c>
      <c r="J797" s="16" t="str">
        <f>$G$2</f>
        <v>AA-SM-503</v>
      </c>
      <c r="K797" s="17"/>
      <c r="L797" s="18"/>
      <c r="M797" s="9"/>
      <c r="N797" s="9"/>
      <c r="O797" s="9"/>
      <c r="P797" s="9"/>
      <c r="Q797" s="33"/>
      <c r="R797" s="33"/>
      <c r="S797" s="31"/>
    </row>
    <row r="798" spans="1:21" x14ac:dyDescent="0.3">
      <c r="A798" s="5"/>
      <c r="B798" s="5"/>
      <c r="C798" s="5"/>
      <c r="D798" s="5"/>
      <c r="E798" s="7" t="s">
        <v>2</v>
      </c>
      <c r="F798" s="15" t="str">
        <f>$C$2</f>
        <v xml:space="preserve"> </v>
      </c>
      <c r="G798" s="5"/>
      <c r="H798" s="15"/>
      <c r="I798" s="7" t="s">
        <v>9</v>
      </c>
      <c r="J798" s="17" t="str">
        <f>$G$3</f>
        <v>IR</v>
      </c>
      <c r="K798" s="17"/>
      <c r="L798" s="18"/>
      <c r="M798" s="9">
        <v>1</v>
      </c>
      <c r="N798" s="9"/>
      <c r="O798" s="9"/>
      <c r="P798" s="9"/>
      <c r="Q798" s="33"/>
      <c r="R798" s="33"/>
      <c r="S798" s="31"/>
    </row>
    <row r="799" spans="1:21" x14ac:dyDescent="0.3">
      <c r="A799" s="5"/>
      <c r="B799" s="5"/>
      <c r="C799" s="5"/>
      <c r="D799" s="5"/>
      <c r="E799" s="7" t="s">
        <v>3</v>
      </c>
      <c r="F799" s="15" t="str">
        <f>$C$3</f>
        <v>20/10/2013</v>
      </c>
      <c r="G799" s="5"/>
      <c r="H799" s="15"/>
      <c r="I799" s="7" t="s">
        <v>6</v>
      </c>
      <c r="J799" s="8" t="str">
        <f>L799&amp;" of "&amp;$G$1</f>
        <v>15 of 15</v>
      </c>
      <c r="K799" s="15"/>
      <c r="L799" s="18">
        <f>SUM($M$1:M798)</f>
        <v>15</v>
      </c>
      <c r="M799" s="9"/>
      <c r="N799" s="9"/>
      <c r="O799" s="9"/>
      <c r="P799" s="9"/>
      <c r="Q799" s="33"/>
      <c r="R799" s="33"/>
      <c r="S799" s="31"/>
    </row>
    <row r="800" spans="1:21" x14ac:dyDescent="0.3">
      <c r="E800" s="7" t="s">
        <v>131</v>
      </c>
      <c r="F800" s="15" t="str">
        <f>$C$5</f>
        <v>STANDARD SPREADSHEET METHOD</v>
      </c>
      <c r="G800" s="5"/>
      <c r="H800" s="5"/>
      <c r="I800" s="19"/>
      <c r="J800" s="8"/>
      <c r="K800" s="5"/>
      <c r="L800" s="5"/>
      <c r="M800" s="9"/>
      <c r="N800" s="9"/>
      <c r="O800" s="9"/>
      <c r="P800" s="9"/>
      <c r="Q800" s="33"/>
      <c r="R800" s="33"/>
      <c r="S800" s="31"/>
    </row>
    <row r="801" spans="1:25" ht="13.5" customHeight="1" x14ac:dyDescent="0.3">
      <c r="A801" s="190"/>
      <c r="B801" s="21" t="str">
        <f>$G$4</f>
        <v>SIMPLE LANDING GEAR LOADS</v>
      </c>
      <c r="C801" s="190"/>
      <c r="D801" s="190"/>
      <c r="E801" s="190"/>
      <c r="F801" s="190"/>
      <c r="G801" s="190"/>
      <c r="H801" s="190"/>
      <c r="I801" s="190"/>
      <c r="J801" s="190"/>
      <c r="K801" s="190"/>
      <c r="L801" s="191"/>
      <c r="M801" s="192"/>
      <c r="N801" s="192"/>
      <c r="O801" s="192"/>
      <c r="P801" s="192"/>
      <c r="Q801" s="33"/>
      <c r="R801" s="33"/>
      <c r="S801" s="31"/>
    </row>
    <row r="802" spans="1:25" x14ac:dyDescent="0.3">
      <c r="A802" s="37"/>
      <c r="B802" s="26" t="s">
        <v>95</v>
      </c>
      <c r="O802" s="32"/>
      <c r="P802" s="31"/>
      <c r="Q802" s="33"/>
      <c r="R802" s="33"/>
      <c r="S802" s="31"/>
    </row>
    <row r="803" spans="1:25" ht="4.5" customHeight="1" x14ac:dyDescent="0.3">
      <c r="F803" s="54"/>
      <c r="G803" s="54"/>
      <c r="O803" s="32"/>
      <c r="P803" s="31"/>
      <c r="Q803" s="33"/>
      <c r="R803" s="33"/>
      <c r="S803" s="31"/>
    </row>
    <row r="804" spans="1:25" x14ac:dyDescent="0.3">
      <c r="B804" s="27" t="s">
        <v>113</v>
      </c>
      <c r="C804" s="66"/>
      <c r="D804" s="66"/>
      <c r="E804" s="66"/>
      <c r="F804" s="54"/>
      <c r="O804" s="32"/>
      <c r="P804" s="31"/>
      <c r="Q804" s="33"/>
      <c r="R804" s="33"/>
      <c r="S804" s="31"/>
    </row>
    <row r="805" spans="1:25" x14ac:dyDescent="0.3">
      <c r="B805" s="72"/>
      <c r="C805" s="215" t="s">
        <v>97</v>
      </c>
      <c r="D805" s="216"/>
      <c r="E805" s="216"/>
      <c r="F805" s="216"/>
      <c r="G805" s="216"/>
      <c r="H805" s="216"/>
      <c r="I805" s="217" t="s">
        <v>98</v>
      </c>
      <c r="J805" s="218"/>
      <c r="K805" s="219"/>
      <c r="L805" s="27"/>
      <c r="N805" s="34"/>
      <c r="O805" s="32"/>
      <c r="P805" s="31"/>
      <c r="Q805" s="33"/>
      <c r="R805" s="33"/>
      <c r="S805" s="31"/>
    </row>
    <row r="806" spans="1:25" x14ac:dyDescent="0.3">
      <c r="B806" s="72"/>
      <c r="C806" s="217" t="s">
        <v>99</v>
      </c>
      <c r="D806" s="218"/>
      <c r="E806" s="219"/>
      <c r="F806" s="217" t="s">
        <v>100</v>
      </c>
      <c r="G806" s="218"/>
      <c r="H806" s="218"/>
      <c r="I806" s="139"/>
      <c r="J806" s="140"/>
      <c r="K806" s="141"/>
      <c r="L806" s="27"/>
      <c r="N806" s="34"/>
      <c r="O806" s="32"/>
      <c r="P806" s="31"/>
      <c r="Q806" s="33"/>
      <c r="R806" s="33"/>
      <c r="S806" s="31"/>
    </row>
    <row r="807" spans="1:25" x14ac:dyDescent="0.3">
      <c r="B807" s="72"/>
      <c r="C807" s="29" t="s">
        <v>101</v>
      </c>
      <c r="D807" s="142" t="s">
        <v>102</v>
      </c>
      <c r="E807" s="28" t="s">
        <v>103</v>
      </c>
      <c r="F807" s="29" t="s">
        <v>101</v>
      </c>
      <c r="G807" s="142" t="s">
        <v>102</v>
      </c>
      <c r="H807" s="142" t="s">
        <v>103</v>
      </c>
      <c r="I807" s="29" t="s">
        <v>101</v>
      </c>
      <c r="J807" s="142" t="s">
        <v>102</v>
      </c>
      <c r="K807" s="28" t="s">
        <v>103</v>
      </c>
      <c r="L807" s="27"/>
      <c r="N807" s="34"/>
      <c r="O807" s="32"/>
      <c r="P807" s="31"/>
      <c r="Q807" s="33"/>
      <c r="R807" s="33"/>
      <c r="S807" s="31"/>
    </row>
    <row r="808" spans="1:25" ht="15" x14ac:dyDescent="0.35">
      <c r="B808" s="72"/>
      <c r="C808" s="33" t="s">
        <v>151</v>
      </c>
      <c r="D808" s="56" t="s">
        <v>152</v>
      </c>
      <c r="E808" s="32" t="s">
        <v>153</v>
      </c>
      <c r="F808" s="33" t="s">
        <v>151</v>
      </c>
      <c r="G808" s="56" t="s">
        <v>152</v>
      </c>
      <c r="H808" s="32" t="s">
        <v>153</v>
      </c>
      <c r="I808" s="33" t="s">
        <v>154</v>
      </c>
      <c r="J808" s="56" t="s">
        <v>155</v>
      </c>
      <c r="K808" s="32" t="s">
        <v>156</v>
      </c>
      <c r="L808" s="27"/>
      <c r="N808" s="34"/>
      <c r="O808" s="32"/>
      <c r="P808" s="31"/>
      <c r="Q808" s="33"/>
      <c r="R808" s="33"/>
      <c r="S808" s="31"/>
    </row>
    <row r="809" spans="1:25" x14ac:dyDescent="0.3">
      <c r="B809" s="72"/>
      <c r="C809" s="143" t="s">
        <v>104</v>
      </c>
      <c r="D809" s="109" t="s">
        <v>104</v>
      </c>
      <c r="E809" s="144" t="s">
        <v>104</v>
      </c>
      <c r="F809" s="143" t="s">
        <v>104</v>
      </c>
      <c r="G809" s="109" t="s">
        <v>104</v>
      </c>
      <c r="H809" s="109" t="s">
        <v>104</v>
      </c>
      <c r="I809" s="143" t="s">
        <v>104</v>
      </c>
      <c r="J809" s="109" t="s">
        <v>104</v>
      </c>
      <c r="K809" s="144" t="s">
        <v>104</v>
      </c>
      <c r="L809" s="27"/>
      <c r="N809" s="34"/>
      <c r="O809" s="32"/>
      <c r="P809" s="31"/>
      <c r="Q809" s="33"/>
      <c r="R809" s="33"/>
      <c r="S809" s="31"/>
    </row>
    <row r="810" spans="1:25" x14ac:dyDescent="0.3">
      <c r="A810" s="29" t="s">
        <v>105</v>
      </c>
      <c r="B810" s="145" t="s">
        <v>106</v>
      </c>
      <c r="C810" s="146">
        <f>E316</f>
        <v>2316.4781898797091</v>
      </c>
      <c r="D810" s="147"/>
      <c r="E810" s="148">
        <f>E314</f>
        <v>5382.1726198332026</v>
      </c>
      <c r="F810" s="146">
        <f>E316</f>
        <v>2316.4781898797091</v>
      </c>
      <c r="G810" s="149"/>
      <c r="H810" s="149">
        <f>E314</f>
        <v>5382.1726198332026</v>
      </c>
      <c r="I810" s="146">
        <f>E318</f>
        <v>1961.8014477572196</v>
      </c>
      <c r="J810" s="147"/>
      <c r="K810" s="148">
        <f>E317</f>
        <v>4558.1063891718932</v>
      </c>
      <c r="L810" s="27"/>
      <c r="N810" s="34"/>
      <c r="O810" s="32"/>
      <c r="P810" s="31"/>
      <c r="Q810" s="33"/>
      <c r="R810" s="33"/>
      <c r="S810" s="31"/>
      <c r="T810" s="44"/>
      <c r="W810" s="116">
        <f>C810+F810</f>
        <v>4632.9563797594183</v>
      </c>
      <c r="Y810" s="88">
        <f>+E810+H810</f>
        <v>10764.345239666405</v>
      </c>
    </row>
    <row r="811" spans="1:25" x14ac:dyDescent="0.3">
      <c r="A811" s="33" t="s">
        <v>105</v>
      </c>
      <c r="B811" s="47" t="s">
        <v>107</v>
      </c>
      <c r="C811" s="150">
        <f>E325</f>
        <v>2457.5926055855252</v>
      </c>
      <c r="D811" s="151"/>
      <c r="E811" s="152">
        <f>E323</f>
        <v>5710.0419465524164</v>
      </c>
      <c r="F811" s="153">
        <f>E325</f>
        <v>2457.5926055855252</v>
      </c>
      <c r="G811" s="151"/>
      <c r="H811" s="154">
        <f>E323</f>
        <v>5710.0419465524164</v>
      </c>
      <c r="I811" s="150">
        <f>E327</f>
        <v>1261.5617825224567</v>
      </c>
      <c r="J811" s="151"/>
      <c r="K811" s="152">
        <f>E326</f>
        <v>2931.1492392997343</v>
      </c>
      <c r="L811" s="27"/>
      <c r="N811" s="34"/>
      <c r="O811" s="32"/>
      <c r="P811" s="31"/>
      <c r="Q811" s="33"/>
      <c r="R811" s="33"/>
      <c r="S811" s="31"/>
      <c r="T811" s="44"/>
      <c r="W811" s="116">
        <f t="shared" ref="W811:W833" si="0">C811+F811</f>
        <v>4915.1852111710505</v>
      </c>
      <c r="Y811" s="88">
        <f t="shared" ref="Y811:Y833" si="1">+E811+H811</f>
        <v>11420.083893104833</v>
      </c>
    </row>
    <row r="812" spans="1:25" x14ac:dyDescent="0.3">
      <c r="A812" s="33" t="s">
        <v>105</v>
      </c>
      <c r="B812" s="47" t="s">
        <v>108</v>
      </c>
      <c r="C812" s="150">
        <f>E334</f>
        <v>1947.394929913047</v>
      </c>
      <c r="D812" s="151"/>
      <c r="E812" s="152">
        <f>E332</f>
        <v>4524.6338677267113</v>
      </c>
      <c r="F812" s="153">
        <f>E334</f>
        <v>1947.394929913047</v>
      </c>
      <c r="G812" s="151"/>
      <c r="H812" s="154">
        <f>E332</f>
        <v>4524.6338677267113</v>
      </c>
      <c r="I812" s="150">
        <f>E336</f>
        <v>1080.7657310302857</v>
      </c>
      <c r="J812" s="151"/>
      <c r="K812" s="152">
        <f>E335</f>
        <v>2511.0824489598499</v>
      </c>
      <c r="L812" s="27"/>
      <c r="N812" s="34"/>
      <c r="O812" s="32"/>
      <c r="P812" s="31"/>
      <c r="Q812" s="33"/>
      <c r="R812" s="33"/>
      <c r="S812" s="31"/>
      <c r="T812" s="44"/>
      <c r="W812" s="116">
        <f t="shared" si="0"/>
        <v>3894.789859826094</v>
      </c>
      <c r="Y812" s="88">
        <f t="shared" si="1"/>
        <v>9049.2677354534226</v>
      </c>
    </row>
    <row r="813" spans="1:25" x14ac:dyDescent="0.3">
      <c r="A813" s="155" t="s">
        <v>105</v>
      </c>
      <c r="B813" s="156" t="s">
        <v>109</v>
      </c>
      <c r="C813" s="157">
        <f>E343</f>
        <v>2792.425547071462</v>
      </c>
      <c r="D813" s="158"/>
      <c r="E813" s="159">
        <f>E341</f>
        <v>6488.002515210912</v>
      </c>
      <c r="F813" s="160">
        <f>E343</f>
        <v>2792.425547071462</v>
      </c>
      <c r="G813" s="158"/>
      <c r="H813" s="161">
        <f>E341</f>
        <v>6488.002515210912</v>
      </c>
      <c r="I813" s="157">
        <f>E345</f>
        <v>2211.0981362108432</v>
      </c>
      <c r="J813" s="158"/>
      <c r="K813" s="159">
        <f>E344</f>
        <v>5137.3295464077728</v>
      </c>
      <c r="L813" s="27"/>
      <c r="N813" s="34"/>
      <c r="O813" s="32"/>
      <c r="P813" s="31"/>
      <c r="Q813" s="33"/>
      <c r="R813" s="33"/>
      <c r="S813" s="31"/>
      <c r="T813" s="44"/>
      <c r="W813" s="116">
        <f t="shared" si="0"/>
        <v>5584.851094142924</v>
      </c>
      <c r="Y813" s="88">
        <f t="shared" si="1"/>
        <v>12976.005030421824</v>
      </c>
    </row>
    <row r="814" spans="1:25" x14ac:dyDescent="0.3">
      <c r="A814" s="29" t="s">
        <v>110</v>
      </c>
      <c r="B814" s="145" t="s">
        <v>106</v>
      </c>
      <c r="C814" s="146">
        <f>E360</f>
        <v>3297.3789137583194</v>
      </c>
      <c r="D814" s="147"/>
      <c r="E814" s="148">
        <f>E358</f>
        <v>7661.2258144191501</v>
      </c>
      <c r="F814" s="162">
        <f>E360</f>
        <v>3297.3789137583194</v>
      </c>
      <c r="G814" s="147"/>
      <c r="H814" s="149">
        <f>E358</f>
        <v>7661.2258144191501</v>
      </c>
      <c r="I814" s="163"/>
      <c r="J814" s="147"/>
      <c r="K814" s="164"/>
      <c r="L814" s="27"/>
      <c r="N814" s="34"/>
      <c r="O814" s="32"/>
      <c r="P814" s="31"/>
      <c r="Q814" s="33"/>
      <c r="R814" s="33"/>
      <c r="S814" s="31"/>
      <c r="T814" s="44"/>
      <c r="W814" s="116">
        <f t="shared" si="0"/>
        <v>6594.7578275166388</v>
      </c>
      <c r="Y814" s="88">
        <f t="shared" si="1"/>
        <v>15322.4516288383</v>
      </c>
    </row>
    <row r="815" spans="1:25" x14ac:dyDescent="0.3">
      <c r="A815" s="33" t="s">
        <v>110</v>
      </c>
      <c r="B815" s="47" t="s">
        <v>107</v>
      </c>
      <c r="C815" s="150">
        <f>E371</f>
        <v>3088.3734968467534</v>
      </c>
      <c r="D815" s="151"/>
      <c r="E815" s="152">
        <f>E369</f>
        <v>7175.6165662022831</v>
      </c>
      <c r="F815" s="150">
        <f>E371</f>
        <v>3088.3734968467534</v>
      </c>
      <c r="G815" s="151"/>
      <c r="H815" s="154">
        <f>E369</f>
        <v>7175.6165662022831</v>
      </c>
      <c r="I815" s="165"/>
      <c r="J815" s="151"/>
      <c r="K815" s="166"/>
      <c r="L815" s="27"/>
      <c r="N815" s="34"/>
      <c r="O815" s="32"/>
      <c r="P815" s="31"/>
      <c r="Q815" s="33"/>
      <c r="R815" s="33"/>
      <c r="S815" s="31"/>
      <c r="T815" s="44"/>
      <c r="W815" s="116">
        <f t="shared" si="0"/>
        <v>6176.7469936935067</v>
      </c>
      <c r="Y815" s="88">
        <f t="shared" si="1"/>
        <v>14351.233132404566</v>
      </c>
    </row>
    <row r="816" spans="1:25" x14ac:dyDescent="0.3">
      <c r="A816" s="33" t="s">
        <v>110</v>
      </c>
      <c r="B816" s="47" t="s">
        <v>108</v>
      </c>
      <c r="C816" s="150">
        <f>E382</f>
        <v>2487.7777954281896</v>
      </c>
      <c r="D816" s="151"/>
      <c r="E816" s="152">
        <f>E380</f>
        <v>5780.1750922066358</v>
      </c>
      <c r="F816" s="150">
        <f>E382</f>
        <v>2487.7777954281896</v>
      </c>
      <c r="G816" s="151"/>
      <c r="H816" s="154">
        <f>E380</f>
        <v>5780.1750922066358</v>
      </c>
      <c r="I816" s="165"/>
      <c r="J816" s="151"/>
      <c r="K816" s="166"/>
      <c r="L816" s="27"/>
      <c r="N816" s="34"/>
      <c r="O816" s="32"/>
      <c r="P816" s="31"/>
      <c r="Q816" s="33"/>
      <c r="R816" s="33"/>
      <c r="S816" s="31"/>
      <c r="T816" s="44"/>
      <c r="W816" s="116">
        <f t="shared" si="0"/>
        <v>4975.5555908563792</v>
      </c>
      <c r="Y816" s="88">
        <f t="shared" si="1"/>
        <v>11560.350184413272</v>
      </c>
    </row>
    <row r="817" spans="1:25" x14ac:dyDescent="0.3">
      <c r="A817" s="155" t="s">
        <v>110</v>
      </c>
      <c r="B817" s="156" t="s">
        <v>109</v>
      </c>
      <c r="C817" s="157">
        <f>E393</f>
        <v>3897.9746151768832</v>
      </c>
      <c r="D817" s="158"/>
      <c r="E817" s="159">
        <f>E391</f>
        <v>9056.6672884147974</v>
      </c>
      <c r="F817" s="160">
        <f>E393</f>
        <v>3897.9746151768832</v>
      </c>
      <c r="G817" s="158"/>
      <c r="H817" s="161">
        <f>E391</f>
        <v>9056.6672884147974</v>
      </c>
      <c r="I817" s="167"/>
      <c r="J817" s="158"/>
      <c r="K817" s="168"/>
      <c r="L817" s="27"/>
      <c r="N817" s="34"/>
      <c r="O817" s="32"/>
      <c r="P817" s="31"/>
      <c r="Q817" s="33"/>
      <c r="R817" s="33"/>
      <c r="S817" s="31"/>
      <c r="T817" s="44"/>
      <c r="W817" s="116">
        <f t="shared" si="0"/>
        <v>7795.9492303537663</v>
      </c>
      <c r="Y817" s="88">
        <f t="shared" si="1"/>
        <v>18113.334576829595</v>
      </c>
    </row>
    <row r="818" spans="1:25" x14ac:dyDescent="0.3">
      <c r="A818" s="29">
        <v>23.481000000000002</v>
      </c>
      <c r="B818" s="145" t="s">
        <v>106</v>
      </c>
      <c r="C818" s="170">
        <f>-SIN(RADIANS($E$410))*E758</f>
        <v>-1330.3579013687297</v>
      </c>
      <c r="D818" s="149"/>
      <c r="E818" s="148">
        <f>COS(RADIANS($E$410))*E758</f>
        <v>7544.8345796172462</v>
      </c>
      <c r="F818" s="170">
        <f>-SIN(RADIANS($E$410))*H758</f>
        <v>-1330.3579013687297</v>
      </c>
      <c r="G818" s="149"/>
      <c r="H818" s="148">
        <f>COS(RADIANS($E$410))*H758</f>
        <v>7544.8345796172462</v>
      </c>
      <c r="I818" s="163"/>
      <c r="J818" s="147"/>
      <c r="K818" s="164"/>
      <c r="L818" s="27"/>
      <c r="N818" s="34"/>
      <c r="O818" s="32"/>
      <c r="P818" s="31"/>
      <c r="Q818" s="33"/>
      <c r="R818" s="33"/>
      <c r="S818" s="31"/>
      <c r="T818" s="44"/>
      <c r="W818" s="116">
        <f t="shared" si="0"/>
        <v>-2660.7158027374594</v>
      </c>
      <c r="Y818" s="88">
        <f t="shared" si="1"/>
        <v>15089.669159234492</v>
      </c>
    </row>
    <row r="819" spans="1:25" x14ac:dyDescent="0.3">
      <c r="A819" s="33">
        <v>23.481000000000002</v>
      </c>
      <c r="B819" s="47" t="s">
        <v>107</v>
      </c>
      <c r="C819" s="175">
        <f>-SIN(RADIANS($E$410))*E759</f>
        <v>-1246.0327403576625</v>
      </c>
      <c r="D819" s="154"/>
      <c r="E819" s="152">
        <f>COS(RADIANS($E$410))*E759</f>
        <v>7066.602827038846</v>
      </c>
      <c r="F819" s="175">
        <f>-SIN(RADIANS($E$410))*H759</f>
        <v>-1246.0327403576625</v>
      </c>
      <c r="G819" s="154"/>
      <c r="H819" s="152">
        <f>COS(RADIANS($E$410))*H759</f>
        <v>7066.602827038846</v>
      </c>
      <c r="I819" s="165"/>
      <c r="J819" s="151"/>
      <c r="K819" s="166"/>
      <c r="L819" s="27"/>
      <c r="N819" s="34"/>
      <c r="O819" s="32"/>
      <c r="P819" s="31"/>
      <c r="Q819" s="33"/>
      <c r="R819" s="33"/>
      <c r="S819" s="31"/>
      <c r="T819" s="44"/>
      <c r="W819" s="116">
        <f t="shared" si="0"/>
        <v>-2492.0654807153251</v>
      </c>
      <c r="Y819" s="88">
        <f t="shared" si="1"/>
        <v>14133.205654077692</v>
      </c>
    </row>
    <row r="820" spans="1:25" x14ac:dyDescent="0.3">
      <c r="A820" s="33">
        <v>23.481000000000002</v>
      </c>
      <c r="B820" s="47" t="s">
        <v>108</v>
      </c>
      <c r="C820" s="175">
        <f>-SIN(RADIANS($E$410))*E760</f>
        <v>-1003.7168713574633</v>
      </c>
      <c r="D820" s="154"/>
      <c r="E820" s="152">
        <f>COS(RADIANS($E$410))*E760</f>
        <v>5692.3612445731496</v>
      </c>
      <c r="F820" s="175">
        <f>-SIN(RADIANS($E$410))*H760</f>
        <v>-1003.7168713574633</v>
      </c>
      <c r="G820" s="154"/>
      <c r="H820" s="152">
        <f>COS(RADIANS($E$410))*H760</f>
        <v>5692.3612445731496</v>
      </c>
      <c r="I820" s="165"/>
      <c r="J820" s="151"/>
      <c r="K820" s="166"/>
      <c r="O820" s="32"/>
      <c r="P820" s="31"/>
      <c r="Q820" s="33"/>
      <c r="R820" s="33"/>
      <c r="S820" s="31"/>
      <c r="T820" s="44"/>
      <c r="W820" s="116">
        <f t="shared" si="0"/>
        <v>-2007.4337427149267</v>
      </c>
      <c r="Y820" s="88">
        <f t="shared" si="1"/>
        <v>11384.722489146299</v>
      </c>
    </row>
    <row r="821" spans="1:25" x14ac:dyDescent="0.3">
      <c r="A821" s="155">
        <v>23.481000000000002</v>
      </c>
      <c r="B821" s="156" t="s">
        <v>109</v>
      </c>
      <c r="C821" s="176">
        <f>-SIN(RADIANS($E$410))*E761</f>
        <v>-1572.6737703689289</v>
      </c>
      <c r="D821" s="161"/>
      <c r="E821" s="159">
        <f>COS(RADIANS($E$410))*E761</f>
        <v>8919.0761620829435</v>
      </c>
      <c r="F821" s="176">
        <f>-SIN(RADIANS($E$410))*H761</f>
        <v>-1572.6737703689289</v>
      </c>
      <c r="G821" s="161"/>
      <c r="H821" s="159">
        <f>COS(RADIANS($E$410))*H761</f>
        <v>8919.0761620829435</v>
      </c>
      <c r="I821" s="167"/>
      <c r="J821" s="158"/>
      <c r="K821" s="168"/>
      <c r="O821" s="32"/>
      <c r="P821" s="31"/>
      <c r="Q821" s="33"/>
      <c r="R821" s="33"/>
      <c r="S821" s="31"/>
      <c r="T821" s="44"/>
      <c r="W821" s="116">
        <f t="shared" si="0"/>
        <v>-3145.3475407378578</v>
      </c>
      <c r="Y821" s="88">
        <f t="shared" si="1"/>
        <v>17838.152324165887</v>
      </c>
    </row>
    <row r="822" spans="1:25" x14ac:dyDescent="0.3">
      <c r="A822" s="29" t="s">
        <v>111</v>
      </c>
      <c r="B822" s="145" t="s">
        <v>106</v>
      </c>
      <c r="C822" s="170">
        <f>D528</f>
        <v>2316.4781898797091</v>
      </c>
      <c r="D822" s="147"/>
      <c r="E822" s="148">
        <f>D527</f>
        <v>5382.1726198332026</v>
      </c>
      <c r="F822" s="171" t="s">
        <v>112</v>
      </c>
      <c r="G822" s="147"/>
      <c r="H822" s="147"/>
      <c r="I822" s="163"/>
      <c r="J822" s="147"/>
      <c r="K822" s="164"/>
      <c r="O822" s="32"/>
      <c r="P822" s="31"/>
      <c r="Q822" s="33"/>
      <c r="R822" s="33"/>
      <c r="S822" s="31"/>
      <c r="T822" s="44"/>
      <c r="W822" s="116" t="e">
        <f t="shared" si="0"/>
        <v>#VALUE!</v>
      </c>
      <c r="Y822" s="88">
        <f t="shared" si="1"/>
        <v>5382.1726198332026</v>
      </c>
    </row>
    <row r="823" spans="1:25" x14ac:dyDescent="0.3">
      <c r="A823" s="33">
        <v>23.483000000000001</v>
      </c>
      <c r="B823" s="47" t="s">
        <v>106</v>
      </c>
      <c r="C823" s="172">
        <f>D532</f>
        <v>3297.3789137583194</v>
      </c>
      <c r="D823" s="56"/>
      <c r="E823" s="173">
        <f>D531</f>
        <v>7661.2258144191501</v>
      </c>
      <c r="F823" s="174" t="s">
        <v>112</v>
      </c>
      <c r="G823" s="56"/>
      <c r="H823" s="56"/>
      <c r="I823" s="33"/>
      <c r="J823" s="56"/>
      <c r="K823" s="32"/>
      <c r="O823" s="32"/>
      <c r="P823" s="31"/>
      <c r="Q823" s="33"/>
      <c r="R823" s="33"/>
      <c r="S823" s="31"/>
      <c r="T823" s="44"/>
      <c r="W823" s="116" t="e">
        <f t="shared" si="0"/>
        <v>#VALUE!</v>
      </c>
      <c r="Y823" s="88">
        <f t="shared" si="1"/>
        <v>7661.2258144191501</v>
      </c>
    </row>
    <row r="824" spans="1:25" x14ac:dyDescent="0.3">
      <c r="A824" s="33" t="s">
        <v>111</v>
      </c>
      <c r="B824" s="47" t="s">
        <v>107</v>
      </c>
      <c r="C824" s="175">
        <f>D538</f>
        <v>2457.5926055855252</v>
      </c>
      <c r="D824" s="151"/>
      <c r="E824" s="152">
        <f>D537</f>
        <v>5710.0419465524164</v>
      </c>
      <c r="F824" s="174" t="s">
        <v>112</v>
      </c>
      <c r="G824" s="151"/>
      <c r="H824" s="151"/>
      <c r="I824" s="165"/>
      <c r="J824" s="151"/>
      <c r="K824" s="166"/>
      <c r="O824" s="32"/>
      <c r="P824" s="31"/>
      <c r="Q824" s="33"/>
      <c r="R824" s="33"/>
      <c r="S824" s="31"/>
      <c r="T824" s="44"/>
      <c r="W824" s="116" t="e">
        <f t="shared" si="0"/>
        <v>#VALUE!</v>
      </c>
      <c r="Y824" s="88">
        <f t="shared" si="1"/>
        <v>5710.0419465524164</v>
      </c>
    </row>
    <row r="825" spans="1:25" x14ac:dyDescent="0.3">
      <c r="A825" s="33">
        <v>23.483000000000001</v>
      </c>
      <c r="B825" s="47" t="s">
        <v>107</v>
      </c>
      <c r="C825" s="172">
        <f>D542</f>
        <v>3088.3734968467534</v>
      </c>
      <c r="D825" s="56"/>
      <c r="E825" s="173">
        <f>D541</f>
        <v>7175.6165662022831</v>
      </c>
      <c r="F825" s="174" t="s">
        <v>112</v>
      </c>
      <c r="G825" s="56"/>
      <c r="H825" s="56"/>
      <c r="I825" s="33"/>
      <c r="J825" s="56"/>
      <c r="K825" s="32"/>
      <c r="O825" s="32"/>
      <c r="P825" s="31"/>
      <c r="Q825" s="33"/>
      <c r="R825" s="33"/>
      <c r="S825" s="31"/>
      <c r="T825" s="44"/>
      <c r="W825" s="116" t="e">
        <f t="shared" si="0"/>
        <v>#VALUE!</v>
      </c>
      <c r="Y825" s="88">
        <f t="shared" si="1"/>
        <v>7175.6165662022831</v>
      </c>
    </row>
    <row r="826" spans="1:25" x14ac:dyDescent="0.3">
      <c r="A826" s="33" t="s">
        <v>111</v>
      </c>
      <c r="B826" s="47" t="s">
        <v>108</v>
      </c>
      <c r="C826" s="175">
        <f>D548</f>
        <v>1947.394929913047</v>
      </c>
      <c r="D826" s="151"/>
      <c r="E826" s="152">
        <f>D547</f>
        <v>4524.6338677267113</v>
      </c>
      <c r="F826" s="174" t="s">
        <v>112</v>
      </c>
      <c r="G826" s="151"/>
      <c r="H826" s="151"/>
      <c r="I826" s="165"/>
      <c r="J826" s="151"/>
      <c r="K826" s="166"/>
      <c r="O826" s="32"/>
      <c r="P826" s="31"/>
      <c r="Q826" s="33"/>
      <c r="R826" s="33"/>
      <c r="S826" s="31"/>
      <c r="T826" s="30"/>
      <c r="W826" s="116" t="e">
        <f t="shared" si="0"/>
        <v>#VALUE!</v>
      </c>
      <c r="Y826" s="88">
        <f t="shared" si="1"/>
        <v>4524.6338677267113</v>
      </c>
    </row>
    <row r="827" spans="1:25" x14ac:dyDescent="0.3">
      <c r="A827" s="33">
        <v>23.483000000000001</v>
      </c>
      <c r="B827" s="47" t="s">
        <v>108</v>
      </c>
      <c r="C827" s="172">
        <f>D552</f>
        <v>2487.7777954281896</v>
      </c>
      <c r="D827" s="56"/>
      <c r="E827" s="173">
        <f>D551</f>
        <v>5780.1750922066358</v>
      </c>
      <c r="F827" s="174" t="s">
        <v>112</v>
      </c>
      <c r="G827" s="56"/>
      <c r="H827" s="56"/>
      <c r="I827" s="33"/>
      <c r="J827" s="56"/>
      <c r="K827" s="32"/>
      <c r="O827" s="32"/>
      <c r="P827" s="31"/>
      <c r="Q827" s="33"/>
      <c r="R827" s="33"/>
      <c r="S827" s="31"/>
      <c r="T827" s="30"/>
      <c r="W827" s="116" t="e">
        <f t="shared" si="0"/>
        <v>#VALUE!</v>
      </c>
      <c r="Y827" s="88">
        <f t="shared" si="1"/>
        <v>5780.1750922066358</v>
      </c>
    </row>
    <row r="828" spans="1:25" x14ac:dyDescent="0.3">
      <c r="A828" s="33" t="s">
        <v>111</v>
      </c>
      <c r="B828" s="47" t="s">
        <v>109</v>
      </c>
      <c r="C828" s="175">
        <f>D558</f>
        <v>2792.425547071462</v>
      </c>
      <c r="D828" s="151"/>
      <c r="E828" s="152">
        <f>D557</f>
        <v>6488.002515210912</v>
      </c>
      <c r="F828" s="174" t="s">
        <v>112</v>
      </c>
      <c r="G828" s="151"/>
      <c r="H828" s="151"/>
      <c r="I828" s="165"/>
      <c r="J828" s="151"/>
      <c r="K828" s="166"/>
      <c r="O828" s="32"/>
      <c r="P828" s="31"/>
      <c r="Q828" s="33"/>
      <c r="R828" s="33"/>
      <c r="S828" s="31"/>
      <c r="T828" s="30"/>
      <c r="W828" s="116" t="e">
        <f t="shared" si="0"/>
        <v>#VALUE!</v>
      </c>
      <c r="Y828" s="88">
        <f t="shared" si="1"/>
        <v>6488.002515210912</v>
      </c>
    </row>
    <row r="829" spans="1:25" x14ac:dyDescent="0.3">
      <c r="A829" s="155">
        <v>23.483000000000001</v>
      </c>
      <c r="B829" s="156" t="s">
        <v>109</v>
      </c>
      <c r="C829" s="176">
        <f>D562</f>
        <v>3897.9746151768832</v>
      </c>
      <c r="D829" s="158"/>
      <c r="E829" s="159">
        <f>D561</f>
        <v>9056.6672884147974</v>
      </c>
      <c r="F829" s="177" t="s">
        <v>112</v>
      </c>
      <c r="G829" s="158"/>
      <c r="H829" s="158"/>
      <c r="I829" s="167"/>
      <c r="J829" s="158"/>
      <c r="K829" s="168"/>
      <c r="O829" s="32"/>
      <c r="P829" s="31"/>
      <c r="Q829" s="33"/>
      <c r="R829" s="33"/>
      <c r="S829" s="31"/>
      <c r="T829" s="30"/>
      <c r="W829" s="116" t="e">
        <f t="shared" si="0"/>
        <v>#VALUE!</v>
      </c>
      <c r="Y829" s="88">
        <f t="shared" si="1"/>
        <v>9056.6672884147974</v>
      </c>
    </row>
    <row r="830" spans="1:25" x14ac:dyDescent="0.3">
      <c r="A830" s="29">
        <v>23.484999999999999</v>
      </c>
      <c r="B830" s="145" t="s">
        <v>106</v>
      </c>
      <c r="C830" s="163"/>
      <c r="D830" s="149">
        <f>D584</f>
        <v>2834.3249999999998</v>
      </c>
      <c r="E830" s="148">
        <f>D583</f>
        <v>3769.6522500000001</v>
      </c>
      <c r="F830" s="163"/>
      <c r="G830" s="149">
        <f>D585</f>
        <v>1870.6544999999999</v>
      </c>
      <c r="H830" s="149">
        <f>E770</f>
        <v>3769.6522500000001</v>
      </c>
      <c r="I830" s="163"/>
      <c r="J830" s="147"/>
      <c r="K830" s="164"/>
      <c r="O830" s="32"/>
      <c r="P830" s="31"/>
      <c r="Q830" s="33"/>
      <c r="R830" s="33"/>
      <c r="S830" s="31"/>
      <c r="T830" s="30"/>
      <c r="W830" s="116">
        <f t="shared" si="0"/>
        <v>0</v>
      </c>
      <c r="Y830" s="88">
        <f t="shared" si="1"/>
        <v>7539.3045000000002</v>
      </c>
    </row>
    <row r="831" spans="1:25" x14ac:dyDescent="0.3">
      <c r="A831" s="33">
        <v>23.484999999999999</v>
      </c>
      <c r="B831" s="47" t="s">
        <v>106</v>
      </c>
      <c r="C831" s="165"/>
      <c r="D831" s="154">
        <f>-G770</f>
        <v>-1870.6544999999999</v>
      </c>
      <c r="E831" s="152">
        <f>E770</f>
        <v>3769.6522500000001</v>
      </c>
      <c r="F831" s="165"/>
      <c r="G831" s="154">
        <f>-D770</f>
        <v>-2834.3249999999998</v>
      </c>
      <c r="H831" s="154">
        <f>H770</f>
        <v>3769.6522500000001</v>
      </c>
      <c r="I831" s="165"/>
      <c r="J831" s="151"/>
      <c r="K831" s="166"/>
      <c r="O831" s="32"/>
      <c r="P831" s="31"/>
      <c r="Q831" s="33"/>
      <c r="R831" s="33"/>
      <c r="S831" s="31"/>
      <c r="T831" s="30"/>
      <c r="W831" s="116">
        <f t="shared" si="0"/>
        <v>0</v>
      </c>
      <c r="Y831" s="88">
        <f t="shared" si="1"/>
        <v>7539.3045000000002</v>
      </c>
    </row>
    <row r="832" spans="1:25" x14ac:dyDescent="0.3">
      <c r="A832" s="33">
        <v>23.484999999999999</v>
      </c>
      <c r="B832" s="47" t="s">
        <v>107</v>
      </c>
      <c r="C832" s="165"/>
      <c r="D832" s="154">
        <f>D592</f>
        <v>3484.3249999999998</v>
      </c>
      <c r="E832" s="152">
        <f>D591</f>
        <v>4634.1522500000001</v>
      </c>
      <c r="F832" s="175"/>
      <c r="G832" s="154">
        <f>D593</f>
        <v>2299.6545000000001</v>
      </c>
      <c r="H832" s="154">
        <f>E772</f>
        <v>4634.1522500000001</v>
      </c>
      <c r="I832" s="165"/>
      <c r="J832" s="151"/>
      <c r="K832" s="166"/>
      <c r="O832" s="32"/>
      <c r="P832" s="31"/>
      <c r="Q832" s="33"/>
      <c r="R832" s="33"/>
      <c r="S832" s="31"/>
      <c r="T832" s="30"/>
      <c r="W832" s="116">
        <f t="shared" si="0"/>
        <v>0</v>
      </c>
      <c r="Y832" s="88">
        <f t="shared" si="1"/>
        <v>9268.3045000000002</v>
      </c>
    </row>
    <row r="833" spans="1:25" x14ac:dyDescent="0.3">
      <c r="A833" s="33">
        <v>23.484999999999999</v>
      </c>
      <c r="B833" s="47" t="s">
        <v>107</v>
      </c>
      <c r="C833" s="165"/>
      <c r="D833" s="154">
        <f>-G772</f>
        <v>-2299.6545000000001</v>
      </c>
      <c r="E833" s="152">
        <f>E772</f>
        <v>4634.1522500000001</v>
      </c>
      <c r="F833" s="165"/>
      <c r="G833" s="154">
        <f>-D772</f>
        <v>-3484.3249999999998</v>
      </c>
      <c r="H833" s="154">
        <f>H772</f>
        <v>4634.1522500000001</v>
      </c>
      <c r="I833" s="165"/>
      <c r="J833" s="151"/>
      <c r="K833" s="166"/>
      <c r="O833" s="32"/>
      <c r="P833" s="31"/>
      <c r="Q833" s="33"/>
      <c r="R833" s="33"/>
      <c r="S833" s="31"/>
      <c r="T833" s="30"/>
      <c r="W833" s="116">
        <f t="shared" si="0"/>
        <v>0</v>
      </c>
      <c r="Y833" s="88">
        <f t="shared" si="1"/>
        <v>9268.3045000000002</v>
      </c>
    </row>
    <row r="834" spans="1:25" x14ac:dyDescent="0.3">
      <c r="A834" s="33">
        <v>23.484999999999999</v>
      </c>
      <c r="B834" s="47" t="s">
        <v>108</v>
      </c>
      <c r="C834" s="178"/>
      <c r="D834" s="154">
        <f>D600</f>
        <v>2415.8249999999998</v>
      </c>
      <c r="E834" s="152">
        <f>D599</f>
        <v>3213.0472500000001</v>
      </c>
      <c r="F834" s="175"/>
      <c r="G834" s="154">
        <f>D601</f>
        <v>1594.4445000000001</v>
      </c>
      <c r="H834" s="154">
        <f>D599</f>
        <v>3213.0472500000001</v>
      </c>
      <c r="I834" s="165"/>
      <c r="J834" s="151"/>
      <c r="K834" s="166"/>
      <c r="O834" s="32"/>
      <c r="P834" s="31"/>
      <c r="Q834" s="33"/>
      <c r="R834" s="33"/>
      <c r="S834" s="31"/>
      <c r="T834" s="30"/>
      <c r="W834" s="116">
        <f>C834+F834</f>
        <v>0</v>
      </c>
      <c r="Y834" s="88">
        <f>+E834+H834</f>
        <v>6426.0945000000002</v>
      </c>
    </row>
    <row r="835" spans="1:25" x14ac:dyDescent="0.3">
      <c r="A835" s="33">
        <v>23.484999999999999</v>
      </c>
      <c r="B835" s="47" t="s">
        <v>108</v>
      </c>
      <c r="C835" s="165"/>
      <c r="D835" s="154">
        <f>-G774</f>
        <v>-1594.4445000000001</v>
      </c>
      <c r="E835" s="152">
        <f>E774</f>
        <v>3213.0472500000001</v>
      </c>
      <c r="F835" s="165"/>
      <c r="G835" s="154">
        <f>-D774</f>
        <v>-2415.8249999999998</v>
      </c>
      <c r="H835" s="154">
        <f>H774</f>
        <v>3213.0472500000001</v>
      </c>
      <c r="I835" s="165"/>
      <c r="J835" s="151"/>
      <c r="K835" s="166"/>
      <c r="O835" s="32"/>
      <c r="P835" s="31"/>
      <c r="Q835" s="33"/>
      <c r="R835" s="33"/>
      <c r="S835" s="31"/>
      <c r="T835" s="30"/>
      <c r="W835" s="116">
        <f t="shared" ref="W835:W856" si="2">C835+F835</f>
        <v>0</v>
      </c>
      <c r="Y835" s="88">
        <f t="shared" ref="Y835:Y856" si="3">+E835+H835</f>
        <v>6426.0945000000002</v>
      </c>
    </row>
    <row r="836" spans="1:25" x14ac:dyDescent="0.3">
      <c r="A836" s="33">
        <v>23.484999999999999</v>
      </c>
      <c r="B836" s="47" t="s">
        <v>109</v>
      </c>
      <c r="C836" s="165"/>
      <c r="D836" s="154">
        <f>D608</f>
        <v>3542.2512499999998</v>
      </c>
      <c r="E836" s="152">
        <f>D607</f>
        <v>4711.1941624999999</v>
      </c>
      <c r="F836" s="175"/>
      <c r="G836" s="154">
        <f>D609</f>
        <v>2337.8858249999998</v>
      </c>
      <c r="H836" s="154">
        <f>D607</f>
        <v>4711.1941624999999</v>
      </c>
      <c r="I836" s="165"/>
      <c r="J836" s="151"/>
      <c r="K836" s="166"/>
      <c r="O836" s="32"/>
      <c r="P836" s="31"/>
      <c r="Q836" s="33"/>
      <c r="R836" s="33"/>
      <c r="S836" s="31"/>
      <c r="T836" s="30"/>
      <c r="W836" s="116">
        <f t="shared" si="2"/>
        <v>0</v>
      </c>
      <c r="Y836" s="88">
        <f t="shared" si="3"/>
        <v>9422.3883249999999</v>
      </c>
    </row>
    <row r="837" spans="1:25" x14ac:dyDescent="0.3">
      <c r="A837" s="155">
        <v>23.484999999999999</v>
      </c>
      <c r="B837" s="156" t="s">
        <v>109</v>
      </c>
      <c r="C837" s="167"/>
      <c r="D837" s="161">
        <f>-G776</f>
        <v>-2337.8858249999998</v>
      </c>
      <c r="E837" s="159">
        <f>E776</f>
        <v>4711.1941624999999</v>
      </c>
      <c r="F837" s="167"/>
      <c r="G837" s="161">
        <f>-D776</f>
        <v>-3542.2512499999998</v>
      </c>
      <c r="H837" s="161">
        <f>H776</f>
        <v>4711.1941624999999</v>
      </c>
      <c r="I837" s="167"/>
      <c r="J837" s="158"/>
      <c r="K837" s="168"/>
      <c r="O837" s="32"/>
      <c r="P837" s="31"/>
      <c r="Q837" s="33"/>
      <c r="R837" s="33"/>
      <c r="S837" s="31"/>
      <c r="T837" s="30"/>
      <c r="W837" s="116">
        <f t="shared" si="2"/>
        <v>0</v>
      </c>
      <c r="Y837" s="88">
        <f t="shared" si="3"/>
        <v>9422.3883249999999</v>
      </c>
    </row>
    <row r="838" spans="1:25" x14ac:dyDescent="0.3">
      <c r="A838" s="29">
        <v>23.492999999999999</v>
      </c>
      <c r="B838" s="145" t="s">
        <v>106</v>
      </c>
      <c r="C838" s="170">
        <f>E639</f>
        <v>3015.7218000000003</v>
      </c>
      <c r="D838" s="147"/>
      <c r="E838" s="148">
        <f>E638</f>
        <v>3769.6522500000001</v>
      </c>
      <c r="F838" s="170">
        <f>C778</f>
        <v>3015.7218000000003</v>
      </c>
      <c r="G838" s="147"/>
      <c r="H838" s="149">
        <f>E778</f>
        <v>3769.6522500000001</v>
      </c>
      <c r="I838" s="163"/>
      <c r="J838" s="147"/>
      <c r="K838" s="164"/>
      <c r="O838" s="32"/>
      <c r="P838" s="31"/>
      <c r="Q838" s="33"/>
      <c r="R838" s="33"/>
      <c r="S838" s="31"/>
      <c r="T838" s="30"/>
      <c r="W838" s="116">
        <f t="shared" si="2"/>
        <v>6031.4436000000005</v>
      </c>
      <c r="Y838" s="88">
        <f t="shared" si="3"/>
        <v>7539.3045000000002</v>
      </c>
    </row>
    <row r="839" spans="1:25" x14ac:dyDescent="0.3">
      <c r="A839" s="33">
        <v>23.492999999999999</v>
      </c>
      <c r="B839" s="47" t="s">
        <v>107</v>
      </c>
      <c r="C839" s="175">
        <f>E646</f>
        <v>3707.3218000000002</v>
      </c>
      <c r="D839" s="151"/>
      <c r="E839" s="152">
        <f>E645</f>
        <v>4634.1522500000001</v>
      </c>
      <c r="F839" s="175">
        <f>C779</f>
        <v>3707.3218000000002</v>
      </c>
      <c r="G839" s="151"/>
      <c r="H839" s="154">
        <f>E779</f>
        <v>4634.1522500000001</v>
      </c>
      <c r="I839" s="165"/>
      <c r="J839" s="151"/>
      <c r="K839" s="166"/>
      <c r="O839" s="32"/>
      <c r="P839" s="31"/>
      <c r="Q839" s="33"/>
      <c r="R839" s="33"/>
      <c r="S839" s="31"/>
      <c r="T839" s="30"/>
      <c r="W839" s="116">
        <f t="shared" si="2"/>
        <v>7414.6436000000003</v>
      </c>
      <c r="Y839" s="88">
        <f t="shared" si="3"/>
        <v>9268.3045000000002</v>
      </c>
    </row>
    <row r="840" spans="1:25" x14ac:dyDescent="0.3">
      <c r="A840" s="33">
        <v>23.492999999999999</v>
      </c>
      <c r="B840" s="47" t="s">
        <v>108</v>
      </c>
      <c r="C840" s="175">
        <f>E653</f>
        <v>2570.4378000000002</v>
      </c>
      <c r="D840" s="179"/>
      <c r="E840" s="152">
        <f>E652</f>
        <v>3213.0472500000001</v>
      </c>
      <c r="F840" s="175">
        <f>C780</f>
        <v>2570.4378000000002</v>
      </c>
      <c r="G840" s="151"/>
      <c r="H840" s="154">
        <f>E780</f>
        <v>3213.0472500000001</v>
      </c>
      <c r="I840" s="165"/>
      <c r="J840" s="151"/>
      <c r="K840" s="166"/>
      <c r="O840" s="32"/>
      <c r="P840" s="31"/>
      <c r="Q840" s="33"/>
      <c r="R840" s="33"/>
      <c r="S840" s="31"/>
      <c r="T840" s="30"/>
      <c r="W840" s="116">
        <f t="shared" si="2"/>
        <v>5140.8756000000003</v>
      </c>
      <c r="Y840" s="88">
        <f t="shared" si="3"/>
        <v>6426.0945000000002</v>
      </c>
    </row>
    <row r="841" spans="1:25" x14ac:dyDescent="0.3">
      <c r="A841" s="155">
        <v>23.492999999999999</v>
      </c>
      <c r="B841" s="156" t="s">
        <v>109</v>
      </c>
      <c r="C841" s="176">
        <f>E660</f>
        <v>3768.9553300000002</v>
      </c>
      <c r="D841" s="180"/>
      <c r="E841" s="159">
        <f>E659</f>
        <v>4711.1941624999999</v>
      </c>
      <c r="F841" s="176">
        <f>C781</f>
        <v>3768.9553300000002</v>
      </c>
      <c r="G841" s="158"/>
      <c r="H841" s="161">
        <f>E781</f>
        <v>4711.1941624999999</v>
      </c>
      <c r="I841" s="167"/>
      <c r="J841" s="158"/>
      <c r="K841" s="168"/>
      <c r="O841" s="32"/>
      <c r="P841" s="31"/>
      <c r="Q841" s="33"/>
      <c r="R841" s="33"/>
      <c r="S841" s="31"/>
      <c r="T841" s="30"/>
      <c r="W841" s="116">
        <f t="shared" si="2"/>
        <v>7537.9106600000005</v>
      </c>
      <c r="Y841" s="88">
        <f t="shared" si="3"/>
        <v>9422.3883249999999</v>
      </c>
    </row>
    <row r="842" spans="1:25" x14ac:dyDescent="0.3">
      <c r="A842" s="29">
        <v>23.498999999999999</v>
      </c>
      <c r="B842" s="145" t="s">
        <v>106</v>
      </c>
      <c r="C842" s="163"/>
      <c r="D842" s="181"/>
      <c r="E842" s="164"/>
      <c r="F842" s="163"/>
      <c r="G842" s="147"/>
      <c r="H842" s="147"/>
      <c r="I842" s="170">
        <f>C694</f>
        <v>3237.846110645432</v>
      </c>
      <c r="J842" s="147"/>
      <c r="K842" s="148">
        <f>C693</f>
        <v>4047.3076383067896</v>
      </c>
      <c r="O842" s="32"/>
      <c r="P842" s="31"/>
      <c r="Q842" s="33"/>
      <c r="R842" s="33"/>
      <c r="S842" s="31"/>
      <c r="W842" s="116">
        <f t="shared" si="2"/>
        <v>0</v>
      </c>
      <c r="Y842" s="88">
        <f t="shared" si="3"/>
        <v>0</v>
      </c>
    </row>
    <row r="843" spans="1:25" x14ac:dyDescent="0.3">
      <c r="A843" s="33">
        <v>23.498999999999999</v>
      </c>
      <c r="B843" s="47" t="s">
        <v>106</v>
      </c>
      <c r="C843" s="165"/>
      <c r="D843" s="179"/>
      <c r="E843" s="166"/>
      <c r="F843" s="165"/>
      <c r="G843" s="151"/>
      <c r="H843" s="151"/>
      <c r="I843" s="175">
        <f>C695</f>
        <v>-719.52135792120714</v>
      </c>
      <c r="J843" s="151"/>
      <c r="K843" s="152">
        <f>K782</f>
        <v>4047.3076383067896</v>
      </c>
      <c r="O843" s="32"/>
      <c r="P843" s="31"/>
      <c r="Q843" s="33"/>
      <c r="R843" s="33"/>
      <c r="S843" s="31"/>
      <c r="W843" s="116">
        <f t="shared" si="2"/>
        <v>0</v>
      </c>
      <c r="Y843" s="88">
        <f t="shared" si="3"/>
        <v>0</v>
      </c>
    </row>
    <row r="844" spans="1:25" x14ac:dyDescent="0.3">
      <c r="A844" s="33">
        <v>23.498999999999999</v>
      </c>
      <c r="B844" s="47" t="s">
        <v>106</v>
      </c>
      <c r="C844" s="165"/>
      <c r="D844" s="179"/>
      <c r="E844" s="166"/>
      <c r="F844" s="165"/>
      <c r="G844" s="151"/>
      <c r="H844" s="151"/>
      <c r="I844" s="165"/>
      <c r="J844" s="182">
        <f>C696</f>
        <v>2833.1153468147527</v>
      </c>
      <c r="K844" s="152">
        <f>K783</f>
        <v>4047.3076383067896</v>
      </c>
      <c r="O844" s="32"/>
      <c r="P844" s="31"/>
      <c r="Q844" s="33"/>
      <c r="R844" s="33"/>
      <c r="S844" s="31"/>
      <c r="W844" s="116">
        <f t="shared" si="2"/>
        <v>0</v>
      </c>
      <c r="Y844" s="88">
        <f t="shared" si="3"/>
        <v>0</v>
      </c>
    </row>
    <row r="845" spans="1:25" x14ac:dyDescent="0.3">
      <c r="A845" s="33">
        <v>23.498999999999999</v>
      </c>
      <c r="B845" s="47" t="s">
        <v>107</v>
      </c>
      <c r="C845" s="165"/>
      <c r="D845" s="179"/>
      <c r="E845" s="166"/>
      <c r="F845" s="165"/>
      <c r="G845" s="151"/>
      <c r="H845" s="151"/>
      <c r="I845" s="175">
        <f>C702</f>
        <v>1879.5195641240571</v>
      </c>
      <c r="J845" s="151"/>
      <c r="K845" s="152">
        <f>C701</f>
        <v>2349.3994551550713</v>
      </c>
      <c r="O845" s="32"/>
      <c r="P845" s="31"/>
      <c r="Q845" s="33"/>
      <c r="R845" s="33"/>
      <c r="S845" s="31"/>
      <c r="W845" s="116">
        <f t="shared" si="2"/>
        <v>0</v>
      </c>
      <c r="Y845" s="88">
        <f t="shared" si="3"/>
        <v>0</v>
      </c>
    </row>
    <row r="846" spans="1:25" x14ac:dyDescent="0.3">
      <c r="A846" s="33">
        <v>23.498999999999999</v>
      </c>
      <c r="B846" s="47" t="s">
        <v>107</v>
      </c>
      <c r="C846" s="165"/>
      <c r="D846" s="179"/>
      <c r="E846" s="166"/>
      <c r="F846" s="165"/>
      <c r="G846" s="151"/>
      <c r="H846" s="151"/>
      <c r="I846" s="175">
        <f>C703</f>
        <v>-417.67101424979046</v>
      </c>
      <c r="J846" s="151"/>
      <c r="K846" s="152">
        <f>K785</f>
        <v>2349.3994551550713</v>
      </c>
      <c r="O846" s="32"/>
      <c r="P846" s="31"/>
      <c r="Q846" s="33"/>
      <c r="R846" s="33"/>
      <c r="S846" s="31"/>
      <c r="W846" s="116">
        <f t="shared" si="2"/>
        <v>0</v>
      </c>
      <c r="Y846" s="88">
        <f t="shared" si="3"/>
        <v>0</v>
      </c>
    </row>
    <row r="847" spans="1:25" x14ac:dyDescent="0.3">
      <c r="A847" s="33">
        <v>23.498999999999999</v>
      </c>
      <c r="B847" s="47" t="s">
        <v>107</v>
      </c>
      <c r="C847" s="165"/>
      <c r="D847" s="179"/>
      <c r="E847" s="166"/>
      <c r="F847" s="165"/>
      <c r="G847" s="151"/>
      <c r="H847" s="151"/>
      <c r="I847" s="165"/>
      <c r="J847" s="182">
        <f>C704</f>
        <v>1644.5796186085499</v>
      </c>
      <c r="K847" s="152">
        <f>K785</f>
        <v>2349.3994551550713</v>
      </c>
      <c r="O847" s="32"/>
      <c r="P847" s="31"/>
      <c r="Q847" s="33"/>
      <c r="R847" s="33"/>
      <c r="S847" s="31"/>
      <c r="W847" s="116">
        <f t="shared" si="2"/>
        <v>0</v>
      </c>
      <c r="Y847" s="88">
        <f t="shared" si="3"/>
        <v>0</v>
      </c>
    </row>
    <row r="848" spans="1:25" x14ac:dyDescent="0.3">
      <c r="A848" s="33">
        <v>23.498999999999999</v>
      </c>
      <c r="B848" s="47" t="s">
        <v>108</v>
      </c>
      <c r="C848" s="165"/>
      <c r="D848" s="179"/>
      <c r="E848" s="166"/>
      <c r="F848" s="165"/>
      <c r="G848" s="151"/>
      <c r="H848" s="151"/>
      <c r="I848" s="175">
        <f>C710</f>
        <v>1615.4474182732613</v>
      </c>
      <c r="J848" s="151"/>
      <c r="K848" s="152">
        <f>C709</f>
        <v>2019.3092728415766</v>
      </c>
      <c r="O848" s="32"/>
      <c r="P848" s="31"/>
      <c r="Q848" s="33"/>
      <c r="R848" s="33"/>
      <c r="S848" s="31"/>
      <c r="W848" s="116">
        <f t="shared" si="2"/>
        <v>0</v>
      </c>
      <c r="Y848" s="88">
        <f t="shared" si="3"/>
        <v>0</v>
      </c>
    </row>
    <row r="849" spans="1:25" x14ac:dyDescent="0.3">
      <c r="A849" s="33">
        <v>23.498999999999999</v>
      </c>
      <c r="B849" s="47" t="s">
        <v>108</v>
      </c>
      <c r="C849" s="165"/>
      <c r="D849" s="151"/>
      <c r="E849" s="166"/>
      <c r="F849" s="169"/>
      <c r="G849" s="151"/>
      <c r="H849" s="151"/>
      <c r="I849" s="175">
        <f>C711</f>
        <v>-358.98831517183589</v>
      </c>
      <c r="J849" s="151"/>
      <c r="K849" s="152">
        <f>K788</f>
        <v>2019.3092728415766</v>
      </c>
      <c r="O849" s="32"/>
      <c r="P849" s="31"/>
      <c r="Q849" s="33"/>
      <c r="R849" s="33"/>
      <c r="S849" s="31"/>
      <c r="W849" s="116">
        <f t="shared" si="2"/>
        <v>0</v>
      </c>
      <c r="Y849" s="88">
        <f t="shared" si="3"/>
        <v>0</v>
      </c>
    </row>
    <row r="850" spans="1:25" x14ac:dyDescent="0.3">
      <c r="A850" s="33">
        <v>23.498999999999999</v>
      </c>
      <c r="B850" s="47" t="s">
        <v>108</v>
      </c>
      <c r="C850" s="165"/>
      <c r="D850" s="151"/>
      <c r="E850" s="166"/>
      <c r="F850" s="169"/>
      <c r="G850" s="151"/>
      <c r="H850" s="151"/>
      <c r="I850" s="165"/>
      <c r="J850" s="182">
        <f>C712</f>
        <v>1413.5164909891034</v>
      </c>
      <c r="K850" s="152">
        <f>K789</f>
        <v>2019.3092728415766</v>
      </c>
      <c r="O850" s="32"/>
      <c r="P850" s="31"/>
      <c r="Q850" s="33"/>
      <c r="R850" s="33"/>
      <c r="S850" s="31"/>
      <c r="W850" s="116">
        <f t="shared" si="2"/>
        <v>0</v>
      </c>
      <c r="Y850" s="88">
        <f t="shared" si="3"/>
        <v>0</v>
      </c>
    </row>
    <row r="851" spans="1:25" x14ac:dyDescent="0.3">
      <c r="A851" s="33">
        <v>23.498999999999999</v>
      </c>
      <c r="B851" s="47" t="s">
        <v>109</v>
      </c>
      <c r="C851" s="165"/>
      <c r="D851" s="151"/>
      <c r="E851" s="166"/>
      <c r="F851" s="169"/>
      <c r="G851" s="151"/>
      <c r="H851" s="151"/>
      <c r="I851" s="175">
        <f>C718</f>
        <v>3661.1809891031025</v>
      </c>
      <c r="J851" s="151"/>
      <c r="K851" s="152">
        <f>C717</f>
        <v>4576.4762363788777</v>
      </c>
      <c r="O851" s="32"/>
      <c r="P851" s="31"/>
      <c r="Q851" s="33"/>
      <c r="R851" s="33"/>
      <c r="S851" s="31"/>
      <c r="W851" s="116">
        <f t="shared" si="2"/>
        <v>0</v>
      </c>
      <c r="Y851" s="88">
        <f t="shared" si="3"/>
        <v>0</v>
      </c>
    </row>
    <row r="852" spans="1:25" x14ac:dyDescent="0.3">
      <c r="A852" s="33">
        <v>23.498999999999999</v>
      </c>
      <c r="B852" s="47" t="s">
        <v>109</v>
      </c>
      <c r="C852" s="165"/>
      <c r="D852" s="151"/>
      <c r="E852" s="166"/>
      <c r="F852" s="169"/>
      <c r="G852" s="151"/>
      <c r="H852" s="151"/>
      <c r="I852" s="175">
        <f>C719</f>
        <v>-813.59577535624487</v>
      </c>
      <c r="J852" s="151"/>
      <c r="K852" s="152">
        <f>K791</f>
        <v>4576.4762363788777</v>
      </c>
      <c r="O852" s="32"/>
      <c r="P852" s="31"/>
      <c r="Q852" s="33"/>
      <c r="R852" s="33"/>
      <c r="S852" s="31"/>
      <c r="W852" s="116">
        <f t="shared" si="2"/>
        <v>0</v>
      </c>
      <c r="Y852" s="88">
        <f t="shared" si="3"/>
        <v>0</v>
      </c>
    </row>
    <row r="853" spans="1:25" x14ac:dyDescent="0.3">
      <c r="A853" s="155">
        <v>23.498999999999999</v>
      </c>
      <c r="B853" s="156" t="s">
        <v>109</v>
      </c>
      <c r="C853" s="167"/>
      <c r="D853" s="158"/>
      <c r="E853" s="168"/>
      <c r="F853" s="167"/>
      <c r="G853" s="158"/>
      <c r="H853" s="158"/>
      <c r="I853" s="167"/>
      <c r="J853" s="183">
        <f>C720</f>
        <v>3203.533365465214</v>
      </c>
      <c r="K853" s="159">
        <f>K791</f>
        <v>4576.4762363788777</v>
      </c>
      <c r="O853" s="32"/>
      <c r="P853" s="31"/>
      <c r="Q853" s="33"/>
      <c r="R853" s="33"/>
      <c r="S853" s="31"/>
      <c r="W853" s="116">
        <f t="shared" si="2"/>
        <v>0</v>
      </c>
      <c r="Y853" s="88">
        <f t="shared" si="3"/>
        <v>0</v>
      </c>
    </row>
    <row r="854" spans="1:25" x14ac:dyDescent="0.3">
      <c r="A854" s="190"/>
      <c r="B854" s="193"/>
      <c r="C854" s="195"/>
      <c r="D854" s="190"/>
      <c r="E854" s="190"/>
      <c r="F854" s="190"/>
      <c r="G854" s="195"/>
      <c r="H854" s="190"/>
      <c r="I854" s="190"/>
      <c r="J854" s="190"/>
      <c r="K854" s="190"/>
      <c r="O854" s="32"/>
      <c r="P854" s="31"/>
      <c r="Q854" s="33"/>
      <c r="R854" s="33"/>
      <c r="S854" s="31"/>
      <c r="W854" s="116"/>
      <c r="Y854" s="88"/>
    </row>
    <row r="855" spans="1:25" x14ac:dyDescent="0.3">
      <c r="A855" s="190"/>
      <c r="B855" s="196"/>
      <c r="C855" s="195"/>
      <c r="D855" s="197"/>
      <c r="E855" s="197"/>
      <c r="F855" s="198" t="s">
        <v>159</v>
      </c>
      <c r="G855" s="195"/>
      <c r="H855" s="197"/>
      <c r="I855" s="197"/>
      <c r="J855" s="197"/>
      <c r="K855" s="190"/>
      <c r="O855" s="32"/>
      <c r="P855" s="31"/>
      <c r="Q855" s="33"/>
      <c r="R855" s="33"/>
      <c r="S855" s="31"/>
      <c r="W855" s="116"/>
      <c r="Y855" s="88"/>
    </row>
    <row r="856" spans="1:25" x14ac:dyDescent="0.3">
      <c r="A856" s="190"/>
      <c r="B856" s="197"/>
      <c r="C856" s="197"/>
      <c r="D856" s="197"/>
      <c r="E856" s="197"/>
      <c r="F856" s="199" t="s">
        <v>160</v>
      </c>
      <c r="G856" s="197"/>
      <c r="H856" s="197"/>
      <c r="I856" s="197"/>
      <c r="J856" s="197"/>
      <c r="K856" s="190"/>
      <c r="O856" s="32"/>
      <c r="P856" s="31"/>
      <c r="Q856" s="33"/>
      <c r="R856" s="33"/>
      <c r="S856" s="31"/>
      <c r="W856" s="116" t="e">
        <f t="shared" si="2"/>
        <v>#VALUE!</v>
      </c>
      <c r="Y856" s="88">
        <f t="shared" si="3"/>
        <v>0</v>
      </c>
    </row>
    <row r="857" spans="1:25" x14ac:dyDescent="0.3">
      <c r="O857" s="32"/>
      <c r="P857" s="31"/>
      <c r="Q857" s="33"/>
      <c r="R857" s="33"/>
      <c r="S857" s="31"/>
    </row>
    <row r="858" spans="1:25" x14ac:dyDescent="0.3">
      <c r="O858" s="32"/>
      <c r="P858" s="31"/>
      <c r="Q858" s="33"/>
      <c r="R858" s="33"/>
      <c r="S858" s="31"/>
    </row>
    <row r="859" spans="1:25" x14ac:dyDescent="0.3">
      <c r="O859" s="32"/>
      <c r="P859" s="31"/>
      <c r="Q859" s="33"/>
      <c r="R859" s="33"/>
      <c r="S859" s="31"/>
    </row>
    <row r="860" spans="1:25" x14ac:dyDescent="0.3">
      <c r="O860" s="32"/>
      <c r="P860" s="31"/>
      <c r="Q860" s="33"/>
      <c r="R860" s="33"/>
      <c r="S860" s="31"/>
    </row>
    <row r="861" spans="1:25" x14ac:dyDescent="0.3">
      <c r="O861" s="32"/>
      <c r="P861" s="31"/>
      <c r="Q861" s="33"/>
      <c r="R861" s="33"/>
      <c r="S861" s="31"/>
    </row>
    <row r="862" spans="1:25" x14ac:dyDescent="0.3">
      <c r="O862" s="32"/>
      <c r="P862" s="31"/>
      <c r="Q862" s="33"/>
      <c r="R862" s="33"/>
      <c r="S862" s="31"/>
    </row>
    <row r="863" spans="1:25" x14ac:dyDescent="0.3">
      <c r="O863" s="32"/>
      <c r="P863" s="31"/>
      <c r="Q863" s="33"/>
      <c r="R863" s="33"/>
      <c r="S863" s="31"/>
    </row>
    <row r="864" spans="1:25" x14ac:dyDescent="0.3">
      <c r="O864" s="32"/>
      <c r="P864" s="31"/>
      <c r="Q864" s="33"/>
      <c r="R864" s="33"/>
      <c r="S864" s="31"/>
    </row>
    <row r="865" spans="15:19" x14ac:dyDescent="0.3">
      <c r="O865" s="32"/>
      <c r="P865" s="31"/>
      <c r="Q865" s="33"/>
      <c r="R865" s="33"/>
      <c r="S865" s="31"/>
    </row>
    <row r="866" spans="15:19" x14ac:dyDescent="0.3">
      <c r="O866" s="32"/>
      <c r="P866" s="31"/>
      <c r="Q866" s="33"/>
      <c r="R866" s="33"/>
      <c r="S866" s="31"/>
    </row>
    <row r="867" spans="15:19" x14ac:dyDescent="0.3">
      <c r="O867" s="32"/>
      <c r="P867" s="31"/>
      <c r="Q867" s="33"/>
      <c r="R867" s="33"/>
      <c r="S867" s="31"/>
    </row>
    <row r="868" spans="15:19" x14ac:dyDescent="0.3">
      <c r="O868" s="32"/>
      <c r="P868" s="31"/>
      <c r="Q868" s="33"/>
      <c r="R868" s="33"/>
      <c r="S868" s="31"/>
    </row>
    <row r="869" spans="15:19" x14ac:dyDescent="0.3">
      <c r="O869" s="32"/>
      <c r="P869" s="31"/>
      <c r="Q869" s="33"/>
      <c r="R869" s="33"/>
      <c r="S869" s="31"/>
    </row>
    <row r="870" spans="15:19" x14ac:dyDescent="0.3">
      <c r="O870" s="32"/>
      <c r="P870" s="31"/>
      <c r="Q870" s="33"/>
      <c r="R870" s="33"/>
      <c r="S870" s="31"/>
    </row>
    <row r="871" spans="15:19" x14ac:dyDescent="0.3">
      <c r="O871" s="32"/>
      <c r="P871" s="31"/>
      <c r="Q871" s="33"/>
      <c r="R871" s="33"/>
      <c r="S871" s="31"/>
    </row>
    <row r="872" spans="15:19" x14ac:dyDescent="0.3">
      <c r="O872" s="32"/>
      <c r="P872" s="31"/>
      <c r="Q872" s="33"/>
      <c r="R872" s="33"/>
      <c r="S872" s="31"/>
    </row>
    <row r="873" spans="15:19" x14ac:dyDescent="0.3">
      <c r="O873" s="32"/>
      <c r="P873" s="31"/>
      <c r="Q873" s="33"/>
      <c r="R873" s="33"/>
      <c r="S873" s="31"/>
    </row>
    <row r="874" spans="15:19" x14ac:dyDescent="0.3">
      <c r="O874" s="32"/>
      <c r="P874" s="31"/>
      <c r="Q874" s="33"/>
      <c r="R874" s="33"/>
      <c r="S874" s="31"/>
    </row>
    <row r="875" spans="15:19" x14ac:dyDescent="0.3">
      <c r="O875" s="32"/>
      <c r="P875" s="31"/>
      <c r="Q875" s="33"/>
      <c r="R875" s="33"/>
      <c r="S875" s="31"/>
    </row>
    <row r="876" spans="15:19" x14ac:dyDescent="0.3">
      <c r="O876" s="32"/>
      <c r="P876" s="31"/>
      <c r="Q876" s="33"/>
      <c r="R876" s="33"/>
      <c r="S876" s="31"/>
    </row>
    <row r="877" spans="15:19" x14ac:dyDescent="0.3">
      <c r="O877" s="32"/>
      <c r="P877" s="31"/>
      <c r="Q877" s="33"/>
      <c r="R877" s="33"/>
      <c r="S877" s="31"/>
    </row>
    <row r="878" spans="15:19" x14ac:dyDescent="0.3">
      <c r="O878" s="32"/>
      <c r="P878" s="31"/>
      <c r="Q878" s="33"/>
      <c r="R878" s="33"/>
      <c r="S878" s="31"/>
    </row>
    <row r="879" spans="15:19" x14ac:dyDescent="0.3">
      <c r="O879" s="32"/>
      <c r="P879" s="31"/>
      <c r="Q879" s="33"/>
      <c r="R879" s="33"/>
      <c r="S879" s="31"/>
    </row>
    <row r="880" spans="15:19" x14ac:dyDescent="0.3">
      <c r="O880" s="32"/>
      <c r="P880" s="31"/>
      <c r="Q880" s="33"/>
      <c r="R880" s="33"/>
      <c r="S880" s="31"/>
    </row>
    <row r="881" spans="15:19" x14ac:dyDescent="0.3">
      <c r="O881" s="32"/>
      <c r="P881" s="31"/>
      <c r="Q881" s="33"/>
      <c r="R881" s="33"/>
      <c r="S881" s="31"/>
    </row>
    <row r="882" spans="15:19" x14ac:dyDescent="0.3">
      <c r="O882" s="32"/>
      <c r="P882" s="31"/>
      <c r="Q882" s="33"/>
      <c r="R882" s="33"/>
      <c r="S882" s="31"/>
    </row>
    <row r="883" spans="15:19" x14ac:dyDescent="0.3">
      <c r="O883" s="32"/>
      <c r="P883" s="31"/>
      <c r="Q883" s="33"/>
      <c r="R883" s="33"/>
      <c r="S883" s="31"/>
    </row>
    <row r="884" spans="15:19" x14ac:dyDescent="0.3">
      <c r="O884" s="32"/>
      <c r="P884" s="31"/>
      <c r="Q884" s="33"/>
      <c r="R884" s="33"/>
      <c r="S884" s="31"/>
    </row>
    <row r="885" spans="15:19" x14ac:dyDescent="0.3">
      <c r="O885" s="32"/>
      <c r="P885" s="31"/>
      <c r="Q885" s="33"/>
      <c r="R885" s="33"/>
      <c r="S885" s="31"/>
    </row>
    <row r="886" spans="15:19" x14ac:dyDescent="0.3">
      <c r="O886" s="32"/>
      <c r="P886" s="31"/>
      <c r="Q886" s="33"/>
      <c r="R886" s="33"/>
      <c r="S886" s="31"/>
    </row>
    <row r="887" spans="15:19" x14ac:dyDescent="0.3">
      <c r="O887" s="32"/>
      <c r="P887" s="31"/>
      <c r="Q887" s="33"/>
      <c r="R887" s="33"/>
      <c r="S887" s="31"/>
    </row>
    <row r="888" spans="15:19" x14ac:dyDescent="0.3">
      <c r="O888" s="32"/>
      <c r="P888" s="31"/>
      <c r="Q888" s="33"/>
      <c r="R888" s="33"/>
      <c r="S888" s="31"/>
    </row>
    <row r="889" spans="15:19" x14ac:dyDescent="0.3">
      <c r="O889" s="32"/>
      <c r="P889" s="31"/>
      <c r="Q889" s="33"/>
      <c r="R889" s="33"/>
      <c r="S889" s="31"/>
    </row>
    <row r="890" spans="15:19" x14ac:dyDescent="0.3">
      <c r="O890" s="32"/>
      <c r="P890" s="31"/>
      <c r="Q890" s="33"/>
      <c r="R890" s="33"/>
      <c r="S890" s="31"/>
    </row>
    <row r="891" spans="15:19" x14ac:dyDescent="0.3">
      <c r="O891" s="32"/>
      <c r="P891" s="31"/>
      <c r="Q891" s="33"/>
      <c r="R891" s="33"/>
      <c r="S891" s="31"/>
    </row>
    <row r="892" spans="15:19" x14ac:dyDescent="0.3">
      <c r="O892" s="32"/>
      <c r="P892" s="31"/>
      <c r="Q892" s="33"/>
      <c r="R892" s="33"/>
      <c r="S892" s="31"/>
    </row>
    <row r="893" spans="15:19" x14ac:dyDescent="0.3">
      <c r="O893" s="32"/>
      <c r="P893" s="31"/>
      <c r="Q893" s="33"/>
      <c r="R893" s="33"/>
      <c r="S893" s="31"/>
    </row>
    <row r="894" spans="15:19" x14ac:dyDescent="0.3">
      <c r="O894" s="32"/>
      <c r="P894" s="31"/>
      <c r="Q894" s="33"/>
      <c r="R894" s="33"/>
      <c r="S894" s="31"/>
    </row>
    <row r="895" spans="15:19" x14ac:dyDescent="0.3">
      <c r="O895" s="32"/>
      <c r="P895" s="31"/>
      <c r="Q895" s="33"/>
      <c r="R895" s="33"/>
      <c r="S895" s="31"/>
    </row>
    <row r="896" spans="15:19" x14ac:dyDescent="0.3">
      <c r="O896" s="32"/>
      <c r="P896" s="31"/>
      <c r="Q896" s="33"/>
      <c r="R896" s="33"/>
      <c r="S896" s="31"/>
    </row>
    <row r="897" spans="15:19" x14ac:dyDescent="0.3">
      <c r="O897" s="32"/>
      <c r="P897" s="31"/>
      <c r="Q897" s="33"/>
      <c r="R897" s="33"/>
      <c r="S897" s="31"/>
    </row>
    <row r="898" spans="15:19" x14ac:dyDescent="0.3">
      <c r="O898" s="32"/>
      <c r="P898" s="31"/>
      <c r="Q898" s="33"/>
      <c r="R898" s="33"/>
      <c r="S898" s="31"/>
    </row>
    <row r="899" spans="15:19" x14ac:dyDescent="0.3">
      <c r="O899" s="32"/>
      <c r="P899" s="31"/>
      <c r="Q899" s="33"/>
      <c r="R899" s="33"/>
      <c r="S899" s="31"/>
    </row>
    <row r="900" spans="15:19" x14ac:dyDescent="0.3">
      <c r="O900" s="32"/>
      <c r="P900" s="31"/>
      <c r="Q900" s="33"/>
      <c r="R900" s="33"/>
      <c r="S900" s="31"/>
    </row>
    <row r="901" spans="15:19" x14ac:dyDescent="0.3">
      <c r="O901" s="32"/>
      <c r="P901" s="31"/>
      <c r="Q901" s="33"/>
      <c r="R901" s="33"/>
      <c r="S901" s="31"/>
    </row>
    <row r="902" spans="15:19" x14ac:dyDescent="0.3">
      <c r="O902" s="32"/>
      <c r="P902" s="31"/>
      <c r="Q902" s="33"/>
      <c r="R902" s="33"/>
      <c r="S902" s="31"/>
    </row>
    <row r="903" spans="15:19" x14ac:dyDescent="0.3">
      <c r="O903" s="32"/>
      <c r="P903" s="31"/>
      <c r="Q903" s="33"/>
      <c r="R903" s="33"/>
      <c r="S903" s="31"/>
    </row>
    <row r="904" spans="15:19" x14ac:dyDescent="0.3">
      <c r="O904" s="32"/>
      <c r="P904" s="31"/>
      <c r="Q904" s="33"/>
      <c r="R904" s="33"/>
      <c r="S904" s="31"/>
    </row>
    <row r="905" spans="15:19" x14ac:dyDescent="0.3">
      <c r="O905" s="32"/>
      <c r="P905" s="31"/>
      <c r="Q905" s="33"/>
      <c r="R905" s="33"/>
      <c r="S905" s="31"/>
    </row>
    <row r="906" spans="15:19" x14ac:dyDescent="0.3">
      <c r="O906" s="32"/>
      <c r="P906" s="31"/>
      <c r="Q906" s="33"/>
      <c r="R906" s="33"/>
      <c r="S906" s="31"/>
    </row>
    <row r="907" spans="15:19" x14ac:dyDescent="0.3">
      <c r="O907" s="32"/>
      <c r="P907" s="31"/>
      <c r="Q907" s="33"/>
      <c r="R907" s="33"/>
      <c r="S907" s="31"/>
    </row>
    <row r="908" spans="15:19" x14ac:dyDescent="0.3">
      <c r="O908" s="32"/>
      <c r="P908" s="31"/>
      <c r="Q908" s="33"/>
      <c r="R908" s="33"/>
      <c r="S908" s="31"/>
    </row>
    <row r="909" spans="15:19" x14ac:dyDescent="0.3">
      <c r="O909" s="32"/>
      <c r="P909" s="31"/>
      <c r="Q909" s="33"/>
      <c r="R909" s="33"/>
      <c r="S909" s="31"/>
    </row>
    <row r="910" spans="15:19" x14ac:dyDescent="0.3">
      <c r="O910" s="32"/>
      <c r="P910" s="31"/>
      <c r="Q910" s="33"/>
      <c r="R910" s="33"/>
      <c r="S910" s="31"/>
    </row>
    <row r="911" spans="15:19" x14ac:dyDescent="0.3">
      <c r="O911" s="32"/>
      <c r="P911" s="31"/>
      <c r="Q911" s="33"/>
      <c r="R911" s="33"/>
      <c r="S911" s="31"/>
    </row>
    <row r="912" spans="15:19" x14ac:dyDescent="0.3">
      <c r="O912" s="32"/>
      <c r="P912" s="31"/>
      <c r="Q912" s="33"/>
      <c r="R912" s="33"/>
      <c r="S912" s="31"/>
    </row>
    <row r="913" spans="15:19" x14ac:dyDescent="0.3">
      <c r="O913" s="32"/>
      <c r="P913" s="31"/>
      <c r="Q913" s="33"/>
      <c r="R913" s="33"/>
      <c r="S913" s="31"/>
    </row>
    <row r="914" spans="15:19" x14ac:dyDescent="0.3">
      <c r="O914" s="32"/>
      <c r="P914" s="31"/>
      <c r="Q914" s="33"/>
      <c r="R914" s="33"/>
      <c r="S914" s="31"/>
    </row>
    <row r="915" spans="15:19" x14ac:dyDescent="0.3">
      <c r="O915" s="32"/>
      <c r="P915" s="31"/>
      <c r="Q915" s="33"/>
      <c r="R915" s="33"/>
      <c r="S915" s="31"/>
    </row>
    <row r="916" spans="15:19" x14ac:dyDescent="0.3">
      <c r="O916" s="32"/>
      <c r="P916" s="31"/>
      <c r="Q916" s="33"/>
      <c r="R916" s="33"/>
      <c r="S916" s="31"/>
    </row>
    <row r="917" spans="15:19" x14ac:dyDescent="0.3">
      <c r="O917" s="32"/>
      <c r="P917" s="31"/>
      <c r="Q917" s="33"/>
      <c r="R917" s="33"/>
      <c r="S917" s="31"/>
    </row>
    <row r="918" spans="15:19" x14ac:dyDescent="0.3">
      <c r="O918" s="32"/>
      <c r="P918" s="31"/>
      <c r="Q918" s="33"/>
      <c r="R918" s="33"/>
      <c r="S918" s="31"/>
    </row>
    <row r="919" spans="15:19" x14ac:dyDescent="0.3">
      <c r="O919" s="32"/>
      <c r="P919" s="31"/>
      <c r="Q919" s="33"/>
      <c r="R919" s="33"/>
      <c r="S919" s="31"/>
    </row>
    <row r="920" spans="15:19" x14ac:dyDescent="0.3">
      <c r="O920" s="32"/>
      <c r="P920" s="31"/>
      <c r="Q920" s="33"/>
      <c r="R920" s="33"/>
      <c r="S920" s="31"/>
    </row>
    <row r="921" spans="15:19" x14ac:dyDescent="0.3">
      <c r="O921" s="32"/>
      <c r="P921" s="31"/>
      <c r="Q921" s="33"/>
      <c r="R921" s="33"/>
      <c r="S921" s="31"/>
    </row>
    <row r="922" spans="15:19" x14ac:dyDescent="0.3">
      <c r="O922" s="32"/>
      <c r="P922" s="31"/>
      <c r="Q922" s="33"/>
      <c r="R922" s="33"/>
      <c r="S922" s="31"/>
    </row>
    <row r="923" spans="15:19" x14ac:dyDescent="0.3">
      <c r="O923" s="32"/>
      <c r="P923" s="31"/>
      <c r="Q923" s="33"/>
      <c r="R923" s="33"/>
      <c r="S923" s="31"/>
    </row>
    <row r="924" spans="15:19" x14ac:dyDescent="0.3">
      <c r="O924" s="32"/>
      <c r="P924" s="31"/>
      <c r="Q924" s="33"/>
      <c r="R924" s="33"/>
      <c r="S924" s="31"/>
    </row>
    <row r="925" spans="15:19" x14ac:dyDescent="0.3">
      <c r="O925" s="32"/>
      <c r="P925" s="31"/>
      <c r="Q925" s="33"/>
      <c r="R925" s="33"/>
      <c r="S925" s="31"/>
    </row>
    <row r="926" spans="15:19" x14ac:dyDescent="0.3">
      <c r="O926" s="32"/>
      <c r="P926" s="31"/>
      <c r="Q926" s="33"/>
      <c r="R926" s="33"/>
      <c r="S926" s="31"/>
    </row>
    <row r="927" spans="15:19" x14ac:dyDescent="0.3">
      <c r="O927" s="32"/>
      <c r="P927" s="31"/>
      <c r="Q927" s="33"/>
      <c r="R927" s="33"/>
      <c r="S927" s="31"/>
    </row>
    <row r="928" spans="15:19" x14ac:dyDescent="0.3">
      <c r="O928" s="32"/>
      <c r="P928" s="31"/>
      <c r="Q928" s="33"/>
      <c r="R928" s="33"/>
      <c r="S928" s="31"/>
    </row>
    <row r="929" spans="15:19" x14ac:dyDescent="0.3">
      <c r="O929" s="32"/>
      <c r="P929" s="31"/>
      <c r="Q929" s="33"/>
      <c r="R929" s="33"/>
      <c r="S929" s="31"/>
    </row>
    <row r="930" spans="15:19" x14ac:dyDescent="0.3">
      <c r="O930" s="32"/>
      <c r="P930" s="31"/>
      <c r="Q930" s="33"/>
      <c r="R930" s="33"/>
      <c r="S930" s="31"/>
    </row>
    <row r="931" spans="15:19" x14ac:dyDescent="0.3">
      <c r="O931" s="32"/>
      <c r="P931" s="31"/>
      <c r="Q931" s="33"/>
      <c r="R931" s="33"/>
      <c r="S931" s="31"/>
    </row>
    <row r="932" spans="15:19" x14ac:dyDescent="0.3">
      <c r="O932" s="32"/>
      <c r="P932" s="31"/>
      <c r="Q932" s="33"/>
      <c r="R932" s="33"/>
      <c r="S932" s="31"/>
    </row>
    <row r="933" spans="15:19" x14ac:dyDescent="0.3">
      <c r="O933" s="32"/>
      <c r="P933" s="31"/>
      <c r="Q933" s="33"/>
      <c r="R933" s="33"/>
      <c r="S933" s="31"/>
    </row>
    <row r="934" spans="15:19" x14ac:dyDescent="0.3">
      <c r="O934" s="32"/>
      <c r="P934" s="31"/>
      <c r="Q934" s="33"/>
      <c r="R934" s="33"/>
      <c r="S934" s="31"/>
    </row>
    <row r="935" spans="15:19" x14ac:dyDescent="0.3">
      <c r="O935" s="32"/>
      <c r="P935" s="31"/>
      <c r="Q935" s="33"/>
      <c r="R935" s="33"/>
      <c r="S935" s="31"/>
    </row>
    <row r="936" spans="15:19" x14ac:dyDescent="0.3">
      <c r="O936" s="32"/>
      <c r="P936" s="31"/>
      <c r="Q936" s="33"/>
      <c r="R936" s="33"/>
      <c r="S936" s="31"/>
    </row>
    <row r="937" spans="15:19" x14ac:dyDescent="0.3">
      <c r="O937" s="32"/>
      <c r="P937" s="31"/>
      <c r="Q937" s="33"/>
      <c r="R937" s="33"/>
      <c r="S937" s="31"/>
    </row>
    <row r="938" spans="15:19" x14ac:dyDescent="0.3">
      <c r="O938" s="32"/>
      <c r="P938" s="31"/>
      <c r="Q938" s="33"/>
      <c r="R938" s="33"/>
      <c r="S938" s="31"/>
    </row>
    <row r="939" spans="15:19" x14ac:dyDescent="0.3">
      <c r="O939" s="32"/>
      <c r="P939" s="31"/>
      <c r="Q939" s="33"/>
      <c r="R939" s="33"/>
      <c r="S939" s="31"/>
    </row>
    <row r="940" spans="15:19" x14ac:dyDescent="0.3">
      <c r="O940" s="32"/>
      <c r="P940" s="31"/>
      <c r="Q940" s="33"/>
      <c r="R940" s="33"/>
      <c r="S940" s="31"/>
    </row>
    <row r="941" spans="15:19" x14ac:dyDescent="0.3">
      <c r="O941" s="32"/>
      <c r="P941" s="31"/>
      <c r="Q941" s="33"/>
      <c r="R941" s="33"/>
      <c r="S941" s="31"/>
    </row>
    <row r="942" spans="15:19" x14ac:dyDescent="0.3">
      <c r="O942" s="32"/>
      <c r="P942" s="31"/>
      <c r="Q942" s="33"/>
      <c r="R942" s="33"/>
      <c r="S942" s="31"/>
    </row>
    <row r="943" spans="15:19" x14ac:dyDescent="0.3">
      <c r="O943" s="32"/>
      <c r="P943" s="31"/>
      <c r="Q943" s="33"/>
      <c r="R943" s="33"/>
      <c r="S943" s="31"/>
    </row>
    <row r="944" spans="15:19" x14ac:dyDescent="0.3">
      <c r="O944" s="32"/>
      <c r="P944" s="31"/>
      <c r="Q944" s="33"/>
      <c r="R944" s="33"/>
      <c r="S944" s="31"/>
    </row>
    <row r="945" spans="15:19" x14ac:dyDescent="0.3">
      <c r="O945" s="32"/>
      <c r="P945" s="31"/>
      <c r="Q945" s="33"/>
      <c r="R945" s="33"/>
      <c r="S945" s="31"/>
    </row>
    <row r="946" spans="15:19" x14ac:dyDescent="0.3">
      <c r="O946" s="32"/>
      <c r="P946" s="31"/>
      <c r="Q946" s="33"/>
      <c r="R946" s="33"/>
      <c r="S946" s="31"/>
    </row>
    <row r="947" spans="15:19" x14ac:dyDescent="0.3">
      <c r="O947" s="32"/>
      <c r="P947" s="31"/>
      <c r="Q947" s="33"/>
      <c r="R947" s="33"/>
      <c r="S947" s="31"/>
    </row>
    <row r="948" spans="15:19" x14ac:dyDescent="0.3">
      <c r="O948" s="32"/>
      <c r="P948" s="31"/>
      <c r="Q948" s="33"/>
      <c r="R948" s="33"/>
      <c r="S948" s="31"/>
    </row>
    <row r="949" spans="15:19" x14ac:dyDescent="0.3">
      <c r="O949" s="32"/>
      <c r="P949" s="31"/>
      <c r="Q949" s="33"/>
      <c r="R949" s="33"/>
      <c r="S949" s="31"/>
    </row>
    <row r="950" spans="15:19" x14ac:dyDescent="0.3">
      <c r="O950" s="32"/>
      <c r="P950" s="31"/>
      <c r="Q950" s="33"/>
      <c r="R950" s="33"/>
      <c r="S950" s="31"/>
    </row>
    <row r="951" spans="15:19" x14ac:dyDescent="0.3">
      <c r="O951" s="32"/>
      <c r="P951" s="31"/>
      <c r="Q951" s="33"/>
      <c r="R951" s="33"/>
      <c r="S951" s="31"/>
    </row>
    <row r="952" spans="15:19" x14ac:dyDescent="0.3">
      <c r="O952" s="32"/>
      <c r="P952" s="31"/>
      <c r="Q952" s="33"/>
      <c r="R952" s="33"/>
      <c r="S952" s="31"/>
    </row>
    <row r="953" spans="15:19" x14ac:dyDescent="0.3">
      <c r="O953" s="32"/>
      <c r="P953" s="31"/>
      <c r="Q953" s="33"/>
      <c r="R953" s="33"/>
      <c r="S953" s="31"/>
    </row>
    <row r="954" spans="15:19" x14ac:dyDescent="0.3">
      <c r="O954" s="32"/>
      <c r="P954" s="31"/>
      <c r="Q954" s="33"/>
      <c r="R954" s="33"/>
      <c r="S954" s="31"/>
    </row>
    <row r="955" spans="15:19" x14ac:dyDescent="0.3">
      <c r="O955" s="32"/>
      <c r="P955" s="31"/>
      <c r="Q955" s="33"/>
      <c r="R955" s="33"/>
      <c r="S955" s="31"/>
    </row>
    <row r="956" spans="15:19" x14ac:dyDescent="0.3">
      <c r="O956" s="32"/>
      <c r="P956" s="31"/>
      <c r="Q956" s="33"/>
      <c r="R956" s="33"/>
      <c r="S956" s="31"/>
    </row>
    <row r="957" spans="15:19" x14ac:dyDescent="0.3">
      <c r="O957" s="32"/>
      <c r="P957" s="31"/>
      <c r="Q957" s="33"/>
      <c r="R957" s="33"/>
      <c r="S957" s="31"/>
    </row>
    <row r="958" spans="15:19" x14ac:dyDescent="0.3">
      <c r="O958" s="32"/>
      <c r="P958" s="31"/>
      <c r="Q958" s="33"/>
      <c r="R958" s="33"/>
      <c r="S958" s="31"/>
    </row>
    <row r="959" spans="15:19" x14ac:dyDescent="0.3">
      <c r="O959" s="32"/>
      <c r="P959" s="31"/>
      <c r="Q959" s="33"/>
      <c r="R959" s="33"/>
      <c r="S959" s="31"/>
    </row>
    <row r="960" spans="15:19" x14ac:dyDescent="0.3">
      <c r="O960" s="32"/>
      <c r="P960" s="31"/>
      <c r="Q960" s="33"/>
      <c r="R960" s="33"/>
      <c r="S960" s="31"/>
    </row>
    <row r="961" spans="15:19" x14ac:dyDescent="0.3">
      <c r="O961" s="32"/>
      <c r="P961" s="31"/>
      <c r="Q961" s="33"/>
      <c r="R961" s="33"/>
      <c r="S961" s="31"/>
    </row>
    <row r="962" spans="15:19" x14ac:dyDescent="0.3">
      <c r="O962" s="32"/>
      <c r="P962" s="31"/>
      <c r="Q962" s="33"/>
      <c r="R962" s="33"/>
      <c r="S962" s="31"/>
    </row>
    <row r="963" spans="15:19" x14ac:dyDescent="0.3">
      <c r="O963" s="32"/>
      <c r="P963" s="31"/>
      <c r="Q963" s="33"/>
      <c r="R963" s="33"/>
      <c r="S963" s="31"/>
    </row>
  </sheetData>
  <mergeCells count="10">
    <mergeCell ref="B19:J21"/>
    <mergeCell ref="B22:J23"/>
    <mergeCell ref="C805:H805"/>
    <mergeCell ref="I805:K805"/>
    <mergeCell ref="C806:E806"/>
    <mergeCell ref="F806:H806"/>
    <mergeCell ref="C745:H745"/>
    <mergeCell ref="I745:K745"/>
    <mergeCell ref="C746:E746"/>
    <mergeCell ref="F746:H746"/>
  </mergeCells>
  <dataValidations disablePrompts="1" count="1">
    <dataValidation type="list" allowBlank="1" showInputMessage="1" showErrorMessage="1" sqref="AB374 W374 W327 W346 AB327 AB346 AB393 W393">
      <formula1>$BK$4:$BK$8</formula1>
    </dataValidation>
  </dataValidations>
  <hyperlinks>
    <hyperlink ref="F65" r:id="rId1"/>
    <hyperlink ref="F124" r:id="rId2"/>
    <hyperlink ref="F179" r:id="rId3"/>
    <hyperlink ref="F237" r:id="rId4"/>
    <hyperlink ref="F295" r:id="rId5"/>
    <hyperlink ref="F348" r:id="rId6"/>
    <hyperlink ref="F459" r:id="rId7"/>
    <hyperlink ref="F516" r:id="rId8"/>
    <hyperlink ref="F571" r:id="rId9"/>
    <hyperlink ref="F626" r:id="rId10"/>
    <hyperlink ref="F682" r:id="rId11"/>
    <hyperlink ref="F736" r:id="rId12"/>
    <hyperlink ref="F856" r:id="rId13"/>
    <hyperlink ref="F796" r:id="rId14"/>
    <hyperlink ref="F402" r:id="rId15"/>
  </hyperlinks>
  <pageMargins left="0.6692913385826772" right="3.937007874015748E-2" top="0.31496062992125984" bottom="0.59055118110236227" header="0.43307086614173229" footer="0.59055118110236227"/>
  <pageSetup scale="94" orientation="portrait" r:id="rId16"/>
  <headerFooter alignWithMargins="0"/>
  <rowBreaks count="14" manualBreakCount="14">
    <brk id="65" max="10" man="1"/>
    <brk id="124" max="10" man="1"/>
    <brk id="179" max="10" man="1"/>
    <brk id="237" max="10" man="1"/>
    <brk id="295" max="10" man="1"/>
    <brk id="348" max="10" man="1"/>
    <brk id="402" max="10" man="1"/>
    <brk id="459" max="10" man="1"/>
    <brk id="516" max="10" man="1"/>
    <brk id="571" max="10" man="1"/>
    <brk id="626" max="10" man="1"/>
    <brk id="682" max="10" man="1"/>
    <brk id="736" max="10" man="1"/>
    <brk id="796" max="10" man="1"/>
  </rowBreak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Landing Gear</vt:lpstr>
      <vt:lpstr>'Landing Gear'!Print_Area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2014-01-13T13:06:36Z</cp:lastPrinted>
  <dcterms:created xsi:type="dcterms:W3CDTF">1996-10-14T23:33:28Z</dcterms:created>
  <dcterms:modified xsi:type="dcterms:W3CDTF">2016-03-11T03:39:12Z</dcterms:modified>
  <cp:category>Engineering Spreadsheets</cp:category>
</cp:coreProperties>
</file>