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D:\Dropbox\00 Administration\Commercial\Templates\Abbott Aerospace\CAYMAN\TECHNICAL LIBRARY\SPREADSHEETS\"/>
    </mc:Choice>
  </mc:AlternateContent>
  <bookViews>
    <workbookView xWindow="156" yWindow="-312" windowWidth="24132" windowHeight="11808" tabRatio="871" activeTab="1"/>
  </bookViews>
  <sheets>
    <sheet name="READ ME" sheetId="40" r:id="rId1"/>
    <sheet name="PURPOSE" sheetId="36" r:id="rId2"/>
    <sheet name="3D Bolt Calc" sheetId="37" r:id="rId3"/>
  </sheets>
  <definedNames>
    <definedName name="_xlnm.Print_Area" localSheetId="1">PURPOSE!$A$8:$K$166</definedName>
    <definedName name="_xlnm.Print_Area" localSheetId="0">'READ ME'!$A$8:$K$62</definedName>
    <definedName name="_xlnm.Print_Area">#REF!</definedName>
    <definedName name="sencount" hidden="1">1</definedName>
  </definedNames>
  <calcPr calcId="171027"/>
</workbook>
</file>

<file path=xl/calcChain.xml><?xml version="1.0" encoding="utf-8"?>
<calcChain xmlns="http://schemas.openxmlformats.org/spreadsheetml/2006/main">
  <c r="C12" i="40" l="1"/>
  <c r="G1" i="36" l="1"/>
  <c r="O302" i="37" l="1"/>
  <c r="O269" i="37"/>
  <c r="O236" i="37"/>
  <c r="O203" i="37"/>
  <c r="O170" i="37"/>
  <c r="O137" i="37"/>
  <c r="O104" i="37"/>
  <c r="O71" i="37"/>
  <c r="O38" i="37"/>
  <c r="AA35" i="36"/>
  <c r="Y35" i="36"/>
  <c r="N38" i="37"/>
  <c r="N236" i="37" s="1"/>
  <c r="C136" i="36"/>
  <c r="C154" i="36" s="1"/>
  <c r="B136" i="36"/>
  <c r="C135" i="36"/>
  <c r="C153" i="36" s="1"/>
  <c r="B135" i="36"/>
  <c r="C134" i="36"/>
  <c r="C152" i="36" s="1"/>
  <c r="B134" i="36"/>
  <c r="C133" i="36"/>
  <c r="C151" i="36" s="1"/>
  <c r="B133" i="36"/>
  <c r="C132" i="36"/>
  <c r="C150" i="36" s="1"/>
  <c r="B132" i="36"/>
  <c r="C131" i="36"/>
  <c r="C149" i="36" s="1"/>
  <c r="B131" i="36"/>
  <c r="C130" i="36"/>
  <c r="C148" i="36" s="1"/>
  <c r="B130" i="36"/>
  <c r="C129" i="36"/>
  <c r="C147" i="36" s="1"/>
  <c r="B129" i="36"/>
  <c r="C128" i="36"/>
  <c r="C146" i="36" s="1"/>
  <c r="B128" i="36"/>
  <c r="C127" i="36"/>
  <c r="C145" i="36" s="1"/>
  <c r="B127" i="36"/>
  <c r="Y87" i="36"/>
  <c r="X87" i="36"/>
  <c r="AE85" i="36" s="1"/>
  <c r="Y84" i="36"/>
  <c r="X84" i="36"/>
  <c r="Y82" i="36"/>
  <c r="X82" i="36"/>
  <c r="AE81" i="36"/>
  <c r="Y75" i="36"/>
  <c r="X75" i="36"/>
  <c r="AC70" i="36"/>
  <c r="AC84" i="36" s="1"/>
  <c r="AC69" i="36"/>
  <c r="AC75" i="36" s="1"/>
  <c r="AB69" i="36"/>
  <c r="AB75" i="36" s="1"/>
  <c r="AF81" i="36" s="1"/>
  <c r="P38" i="37"/>
  <c r="P71" i="37" s="1"/>
  <c r="P104" i="37" s="1"/>
  <c r="P137" i="37" s="1"/>
  <c r="P170" i="37" s="1"/>
  <c r="P203" i="37" s="1"/>
  <c r="P236" i="37" s="1"/>
  <c r="G7" i="37"/>
  <c r="G6" i="37"/>
  <c r="G5" i="37"/>
  <c r="G4" i="37"/>
  <c r="AI29" i="36"/>
  <c r="AL29" i="36" s="1"/>
  <c r="AL26" i="36"/>
  <c r="AI22" i="36"/>
  <c r="AI25" i="36" s="1"/>
  <c r="AL19" i="36"/>
  <c r="AI19" i="36"/>
  <c r="AL15" i="36"/>
  <c r="AL18" i="36" s="1"/>
  <c r="AI15" i="36"/>
  <c r="AI18" i="36" s="1"/>
  <c r="AB73" i="36"/>
  <c r="AB85" i="36" s="1"/>
  <c r="AB78" i="36"/>
  <c r="AB82" i="36"/>
  <c r="AB91" i="36"/>
  <c r="X73" i="36"/>
  <c r="Y73" i="36"/>
  <c r="AB15" i="36"/>
  <c r="AB70" i="36" s="1"/>
  <c r="Y18" i="36"/>
  <c r="X76" i="36" s="1"/>
  <c r="Y19" i="36"/>
  <c r="Y22" i="36" s="1"/>
  <c r="Y85" i="36" s="1"/>
  <c r="AF14" i="36" s="1"/>
  <c r="Y21" i="36"/>
  <c r="X85" i="36" s="1"/>
  <c r="AE72" i="36" s="1"/>
  <c r="Y29" i="36"/>
  <c r="Y76" i="36" l="1"/>
  <c r="Y88" i="36"/>
  <c r="AL22" i="36"/>
  <c r="AC72" i="36"/>
  <c r="Y79" i="36"/>
  <c r="AE84" i="36"/>
  <c r="X81" i="36"/>
  <c r="X79" i="36"/>
  <c r="AI23" i="36"/>
  <c r="AL23" i="36" s="1"/>
  <c r="AH12" i="36"/>
  <c r="AH15" i="36" s="1"/>
  <c r="AC73" i="36"/>
  <c r="AC79" i="36" s="1"/>
  <c r="Y81" i="36"/>
  <c r="Y78" i="36"/>
  <c r="AF69" i="36"/>
  <c r="AF75" i="36" s="1"/>
  <c r="AF88" i="36" s="1"/>
  <c r="Z35" i="36"/>
  <c r="N203" i="37"/>
  <c r="N170" i="37"/>
  <c r="N269" i="37"/>
  <c r="N137" i="37"/>
  <c r="N71" i="37"/>
  <c r="N302" i="37"/>
  <c r="N104" i="37"/>
  <c r="X78" i="36"/>
  <c r="X88" i="36"/>
  <c r="AE69" i="36" s="1"/>
  <c r="AE75" i="36" s="1"/>
  <c r="AK12" i="36"/>
  <c r="AF85" i="36"/>
  <c r="AF93" i="36" s="1"/>
  <c r="AB90" i="36"/>
  <c r="AE76" i="36"/>
  <c r="AE94" i="36" s="1"/>
  <c r="AC76" i="36"/>
  <c r="AF16" i="36"/>
  <c r="AF18" i="36" s="1"/>
  <c r="AF20" i="36" s="1"/>
  <c r="AI28" i="36"/>
  <c r="AL28" i="36" s="1"/>
  <c r="AL25" i="36"/>
  <c r="AB79" i="36"/>
  <c r="AB88" i="36"/>
  <c r="AE82" i="36"/>
  <c r="AE90" i="36" s="1"/>
  <c r="AE105" i="36" s="1"/>
  <c r="AE108" i="36" s="1"/>
  <c r="AE87" i="36"/>
  <c r="AE99" i="36"/>
  <c r="AE102" i="36" s="1"/>
  <c r="AE93" i="36"/>
  <c r="AE111" i="36"/>
  <c r="AE114" i="36" s="1"/>
  <c r="AB76" i="36"/>
  <c r="AC87" i="36"/>
  <c r="AC81" i="36"/>
  <c r="AB84" i="36"/>
  <c r="AC90" i="36"/>
  <c r="AB87" i="36"/>
  <c r="AB81" i="36"/>
  <c r="AF111" i="36" l="1"/>
  <c r="AF114" i="36" s="1"/>
  <c r="AH13" i="36"/>
  <c r="AH22" i="36"/>
  <c r="AF72" i="36"/>
  <c r="AF76" i="36" s="1"/>
  <c r="AF94" i="36" s="1"/>
  <c r="AF121" i="36" s="1"/>
  <c r="AE20" i="36" s="1"/>
  <c r="F7" i="37" s="1"/>
  <c r="AF70" i="36"/>
  <c r="AF78" i="36" s="1"/>
  <c r="AF91" i="36" s="1"/>
  <c r="AE16" i="36"/>
  <c r="F5" i="37" s="1"/>
  <c r="AF82" i="36"/>
  <c r="AF90" i="36" s="1"/>
  <c r="AF105" i="36" s="1"/>
  <c r="AF108" i="36" s="1"/>
  <c r="AF84" i="36"/>
  <c r="AE73" i="36"/>
  <c r="AE79" i="36" s="1"/>
  <c r="AE97" i="36" s="1"/>
  <c r="AE103" i="36" s="1"/>
  <c r="AC88" i="36"/>
  <c r="AK13" i="36"/>
  <c r="AK15" i="36"/>
  <c r="AC91" i="36"/>
  <c r="AC78" i="36"/>
  <c r="AC82" i="36"/>
  <c r="AE70" i="36"/>
  <c r="AE78" i="36" s="1"/>
  <c r="AC85" i="36"/>
  <c r="AH18" i="36"/>
  <c r="AH19" i="36"/>
  <c r="AH16" i="36"/>
  <c r="AE117" i="36"/>
  <c r="AE120" i="36" s="1"/>
  <c r="AE96" i="36"/>
  <c r="AE109" i="36"/>
  <c r="AE121" i="36"/>
  <c r="AD20" i="36" s="1"/>
  <c r="E7" i="37" s="1"/>
  <c r="AF87" i="36"/>
  <c r="AF99" i="36"/>
  <c r="AF102" i="36" s="1"/>
  <c r="AF106" i="36"/>
  <c r="AF118" i="36"/>
  <c r="AE91" i="36"/>
  <c r="AE100" i="36" s="1"/>
  <c r="AD14" i="36" s="1"/>
  <c r="E4" i="37" s="1"/>
  <c r="AE88" i="36"/>
  <c r="AD16" i="36" s="1"/>
  <c r="E5" i="37" s="1"/>
  <c r="AK22" i="36" l="1"/>
  <c r="AH25" i="36"/>
  <c r="AH23" i="36"/>
  <c r="AK23" i="36" s="1"/>
  <c r="AF109" i="36"/>
  <c r="AF73" i="36"/>
  <c r="AF79" i="36" s="1"/>
  <c r="AF97" i="36" s="1"/>
  <c r="AF112" i="36" s="1"/>
  <c r="AE18" i="36" s="1"/>
  <c r="F6" i="37" s="1"/>
  <c r="AE112" i="36"/>
  <c r="AD18" i="36" s="1"/>
  <c r="E6" i="37" s="1"/>
  <c r="C103" i="36" s="1"/>
  <c r="AK16" i="36"/>
  <c r="AK18" i="36"/>
  <c r="AK19" i="36"/>
  <c r="AE115" i="36"/>
  <c r="AF96" i="36"/>
  <c r="AF117" i="36"/>
  <c r="AF120" i="36" s="1"/>
  <c r="AE106" i="36"/>
  <c r="AE118" i="36"/>
  <c r="AK25" i="36" l="1"/>
  <c r="AH26" i="36"/>
  <c r="AH28" i="36"/>
  <c r="AK28" i="36" s="1"/>
  <c r="AF103" i="36"/>
  <c r="AF100" i="36"/>
  <c r="AF115" i="36" s="1"/>
  <c r="AK26" i="36" l="1"/>
  <c r="AH29" i="36"/>
  <c r="AK29" i="36" s="1"/>
  <c r="AE14" i="36"/>
  <c r="F4" i="37" s="1"/>
  <c r="C106" i="36" s="1"/>
  <c r="G55" i="36" l="1"/>
  <c r="F55" i="36"/>
  <c r="E55" i="36"/>
  <c r="G54" i="36"/>
  <c r="S302" i="37" s="1"/>
  <c r="AB311" i="37" s="1"/>
  <c r="F54" i="36"/>
  <c r="R302" i="37" s="1"/>
  <c r="AB310" i="37" s="1"/>
  <c r="E54" i="36"/>
  <c r="Q302" i="37" s="1"/>
  <c r="AB309" i="37" s="1"/>
  <c r="G53" i="36"/>
  <c r="S269" i="37" s="1"/>
  <c r="AB278" i="37" s="1"/>
  <c r="F53" i="36"/>
  <c r="R269" i="37" s="1"/>
  <c r="AB277" i="37" s="1"/>
  <c r="E53" i="36"/>
  <c r="Q269" i="37" s="1"/>
  <c r="AB276" i="37" s="1"/>
  <c r="G52" i="36"/>
  <c r="S236" i="37" s="1"/>
  <c r="AB245" i="37" s="1"/>
  <c r="F52" i="36"/>
  <c r="R236" i="37" s="1"/>
  <c r="AB244" i="37" s="1"/>
  <c r="E52" i="36"/>
  <c r="Q236" i="37" s="1"/>
  <c r="AB243" i="37" s="1"/>
  <c r="G51" i="36"/>
  <c r="S203" i="37" s="1"/>
  <c r="AB212" i="37" s="1"/>
  <c r="F51" i="36"/>
  <c r="R203" i="37" s="1"/>
  <c r="AB211" i="37" s="1"/>
  <c r="E51" i="36"/>
  <c r="Q203" i="37" s="1"/>
  <c r="AB210" i="37" s="1"/>
  <c r="G50" i="36"/>
  <c r="S170" i="37" s="1"/>
  <c r="AB179" i="37" s="1"/>
  <c r="F50" i="36"/>
  <c r="R170" i="37" s="1"/>
  <c r="AB178" i="37" s="1"/>
  <c r="E50" i="36"/>
  <c r="Q170" i="37" s="1"/>
  <c r="AB177" i="37" s="1"/>
  <c r="G49" i="36"/>
  <c r="S137" i="37" s="1"/>
  <c r="AB146" i="37" s="1"/>
  <c r="F49" i="36"/>
  <c r="R137" i="37" s="1"/>
  <c r="AB145" i="37" s="1"/>
  <c r="E49" i="36"/>
  <c r="Q137" i="37" s="1"/>
  <c r="AB144" i="37" s="1"/>
  <c r="G48" i="36"/>
  <c r="S104" i="37" s="1"/>
  <c r="AB113" i="37" s="1"/>
  <c r="F48" i="36"/>
  <c r="R104" i="37" s="1"/>
  <c r="AB112" i="37" s="1"/>
  <c r="E48" i="36"/>
  <c r="Q104" i="37" s="1"/>
  <c r="AB111" i="37" s="1"/>
  <c r="G47" i="36"/>
  <c r="S71" i="37" s="1"/>
  <c r="AB80" i="37" s="1"/>
  <c r="F47" i="36"/>
  <c r="E47" i="36"/>
  <c r="Q71" i="37" s="1"/>
  <c r="AB78" i="37" s="1"/>
  <c r="G46" i="36"/>
  <c r="S38" i="37" s="1"/>
  <c r="AB47" i="37" s="1"/>
  <c r="F46" i="36"/>
  <c r="R38" i="37" s="1"/>
  <c r="AB46" i="37" s="1"/>
  <c r="E46" i="36"/>
  <c r="Q38" i="37" s="1"/>
  <c r="AB45" i="37" s="1"/>
  <c r="P269" i="37"/>
  <c r="P302" i="37" s="1"/>
  <c r="B12" i="36"/>
  <c r="F11" i="36"/>
  <c r="L10" i="36"/>
  <c r="J10" i="36" s="1"/>
  <c r="F10" i="36"/>
  <c r="J9" i="36"/>
  <c r="F9" i="36"/>
  <c r="J8" i="36"/>
  <c r="F8" i="36"/>
  <c r="C35" i="37"/>
  <c r="Z45" i="37"/>
  <c r="Z46" i="37"/>
  <c r="Z47" i="37"/>
  <c r="C68" i="37"/>
  <c r="R71" i="37"/>
  <c r="AB79" i="37" s="1"/>
  <c r="Z78" i="37"/>
  <c r="Z79" i="37"/>
  <c r="Z80" i="37"/>
  <c r="C101" i="37"/>
  <c r="Z111" i="37"/>
  <c r="Z112" i="37"/>
  <c r="Z113" i="37"/>
  <c r="C134" i="37"/>
  <c r="Z144" i="37"/>
  <c r="Z145" i="37"/>
  <c r="Z146" i="37"/>
  <c r="C167" i="37"/>
  <c r="Z177" i="37"/>
  <c r="Z178" i="37"/>
  <c r="Z179" i="37"/>
  <c r="C200" i="37"/>
  <c r="Z210" i="37"/>
  <c r="Z211" i="37"/>
  <c r="Z212" i="37"/>
  <c r="C233" i="37"/>
  <c r="Z243" i="37"/>
  <c r="Z244" i="37"/>
  <c r="Z245" i="37"/>
  <c r="C266" i="37"/>
  <c r="Z276" i="37"/>
  <c r="Z277" i="37"/>
  <c r="Z278" i="37"/>
  <c r="C299" i="37"/>
  <c r="Z309" i="37"/>
  <c r="Z310" i="37"/>
  <c r="Z311" i="37"/>
  <c r="F117" i="36"/>
  <c r="F64" i="36"/>
  <c r="AF310" i="37" l="1"/>
  <c r="AF211" i="37"/>
  <c r="AF278" i="37"/>
  <c r="AF145" i="37"/>
  <c r="AF311" i="37"/>
  <c r="AF212" i="37"/>
  <c r="AF111" i="37"/>
  <c r="AF277" i="37"/>
  <c r="AF177" i="37"/>
  <c r="AF78" i="37"/>
  <c r="AF146" i="37"/>
  <c r="AF243" i="37"/>
  <c r="AF144" i="37"/>
  <c r="AF112" i="37"/>
  <c r="AF210" i="37"/>
  <c r="AF178" i="37"/>
  <c r="AF47" i="37"/>
  <c r="AF309" i="37"/>
  <c r="AF245" i="37"/>
  <c r="AF276" i="37"/>
  <c r="AF244" i="37"/>
  <c r="AF79" i="37"/>
  <c r="AF45" i="37"/>
  <c r="AF46" i="37"/>
  <c r="AF80" i="37"/>
  <c r="AF179" i="37"/>
  <c r="AF113" i="37"/>
  <c r="B65" i="36"/>
  <c r="B118" i="36"/>
  <c r="L63" i="36"/>
  <c r="J63" i="36" s="1"/>
  <c r="L116" i="36"/>
  <c r="J116" i="36" s="1"/>
  <c r="X4" i="36"/>
  <c r="X5" i="36"/>
  <c r="X6" i="36"/>
  <c r="X7" i="36"/>
  <c r="X3" i="36"/>
  <c r="X2" i="36"/>
  <c r="X1" i="36"/>
  <c r="F61" i="36" l="1"/>
  <c r="F114" i="36"/>
  <c r="J62" i="36"/>
  <c r="J115" i="36"/>
  <c r="F63" i="36"/>
  <c r="F116" i="36"/>
  <c r="J114" i="36"/>
  <c r="J61" i="36"/>
  <c r="F62" i="36"/>
  <c r="F115" i="36"/>
  <c r="AB71" i="37" l="1"/>
  <c r="AB75" i="37" s="1"/>
  <c r="AB137" i="37"/>
  <c r="AB141" i="37" s="1"/>
  <c r="AB203" i="37"/>
  <c r="AB207" i="37" s="1"/>
  <c r="AB269" i="37"/>
  <c r="AB273" i="37" s="1"/>
  <c r="AB39" i="37"/>
  <c r="AB43" i="37" s="1"/>
  <c r="AB70" i="37"/>
  <c r="AB107" i="37"/>
  <c r="AB173" i="37"/>
  <c r="AB239" i="37"/>
  <c r="AB38" i="37"/>
  <c r="AB42" i="37" s="1"/>
  <c r="AB106" i="37"/>
  <c r="AB172" i="37"/>
  <c r="AB238" i="37"/>
  <c r="AB105" i="37"/>
  <c r="AB109" i="37" s="1"/>
  <c r="AB169" i="37"/>
  <c r="AB171" i="37"/>
  <c r="AB175" i="37" s="1"/>
  <c r="AB235" i="37"/>
  <c r="AB237" i="37"/>
  <c r="AB241" i="37" s="1"/>
  <c r="AB40" i="37"/>
  <c r="AB104" i="37"/>
  <c r="AB108" i="37" s="1"/>
  <c r="AB170" i="37"/>
  <c r="AB174" i="37" s="1"/>
  <c r="AB236" i="37"/>
  <c r="AB240" i="37" s="1"/>
  <c r="AB37" i="37"/>
  <c r="AB74" i="37"/>
  <c r="AB103" i="37"/>
  <c r="AB140" i="37"/>
  <c r="AB206" i="37"/>
  <c r="AB73" i="37"/>
  <c r="AB139" i="37"/>
  <c r="AB205" i="37"/>
  <c r="AB41" i="37"/>
  <c r="AB72" i="37"/>
  <c r="AB76" i="37" s="1"/>
  <c r="AB136" i="37"/>
  <c r="AB138" i="37"/>
  <c r="AB142" i="37" s="1"/>
  <c r="AB202" i="37"/>
  <c r="AB204" i="37"/>
  <c r="AB208" i="37" s="1"/>
  <c r="AB302" i="37"/>
  <c r="AB306" i="37" s="1"/>
  <c r="AB271" i="37"/>
  <c r="AB305" i="37"/>
  <c r="AB272" i="37"/>
  <c r="AB268" i="37"/>
  <c r="AB270" i="37"/>
  <c r="AB274" i="37" s="1"/>
  <c r="AB301" i="37"/>
  <c r="AB304" i="37"/>
  <c r="AB303" i="37"/>
  <c r="AB307" i="37" s="1"/>
  <c r="AD39" i="37"/>
  <c r="AD43" i="37" s="1"/>
  <c r="AD107" i="37"/>
  <c r="AD173" i="37"/>
  <c r="AD239" i="37"/>
  <c r="AD38" i="37"/>
  <c r="AD42" i="37" s="1"/>
  <c r="AD106" i="37"/>
  <c r="AD172" i="37"/>
  <c r="AD238" i="37"/>
  <c r="AD105" i="37"/>
  <c r="AD109" i="37" s="1"/>
  <c r="AD171" i="37"/>
  <c r="AD175" i="37" s="1"/>
  <c r="AD237" i="37"/>
  <c r="AD241" i="37" s="1"/>
  <c r="AD40" i="37"/>
  <c r="AD104" i="37"/>
  <c r="AD108" i="37" s="1"/>
  <c r="AD170" i="37"/>
  <c r="AD174" i="37" s="1"/>
  <c r="AD236" i="37"/>
  <c r="AD240" i="37" s="1"/>
  <c r="AD74" i="37"/>
  <c r="AD140" i="37"/>
  <c r="AD206" i="37"/>
  <c r="AD73" i="37"/>
  <c r="AD139" i="37"/>
  <c r="AD205" i="37"/>
  <c r="AD41" i="37"/>
  <c r="AD72" i="37"/>
  <c r="AD76" i="37" s="1"/>
  <c r="AD138" i="37"/>
  <c r="AD142" i="37" s="1"/>
  <c r="AD204" i="37"/>
  <c r="AD208" i="37" s="1"/>
  <c r="AD71" i="37"/>
  <c r="AD75" i="37" s="1"/>
  <c r="AD137" i="37"/>
  <c r="AD141" i="37" s="1"/>
  <c r="AD203" i="37"/>
  <c r="AD207" i="37" s="1"/>
  <c r="AD271" i="37"/>
  <c r="AD269" i="37"/>
  <c r="AD273" i="37" s="1"/>
  <c r="AD305" i="37"/>
  <c r="AD270" i="37"/>
  <c r="AD274" i="37" s="1"/>
  <c r="AD302" i="37"/>
  <c r="AD306" i="37" s="1"/>
  <c r="AD272" i="37"/>
  <c r="AD304" i="37"/>
  <c r="AD303" i="37"/>
  <c r="AD307" i="37" s="1"/>
  <c r="Z51" i="37" l="1"/>
  <c r="AF107" i="37"/>
  <c r="AF71" i="37"/>
  <c r="AF75" i="37" s="1"/>
  <c r="AD79" i="37" s="1"/>
  <c r="Z151" i="37"/>
  <c r="AD146" i="37"/>
  <c r="Z315" i="37"/>
  <c r="Z84" i="37"/>
  <c r="AD278" i="37"/>
  <c r="AD113" i="37"/>
  <c r="Z150" i="37"/>
  <c r="Z117" i="37"/>
  <c r="Z217" i="37"/>
  <c r="AD212" i="37"/>
  <c r="Z282" i="37"/>
  <c r="Z216" i="37"/>
  <c r="Z183" i="37"/>
  <c r="Z316" i="37"/>
  <c r="Z52" i="37"/>
  <c r="Z184" i="37"/>
  <c r="AD179" i="37"/>
  <c r="Z283" i="37"/>
  <c r="Z249" i="37"/>
  <c r="AD47" i="37"/>
  <c r="Z118" i="37"/>
  <c r="Z250" i="37"/>
  <c r="AD80" i="37"/>
  <c r="AD311" i="37"/>
  <c r="AD245" i="37"/>
  <c r="Z85" i="37"/>
  <c r="AF41" i="37" l="1"/>
  <c r="AF172" i="37"/>
  <c r="AF238" i="37"/>
  <c r="AF104" i="37"/>
  <c r="AF108" i="37" s="1"/>
  <c r="AD112" i="37" s="1"/>
  <c r="AF235" i="37"/>
  <c r="AF203" i="37"/>
  <c r="AF207" i="37" s="1"/>
  <c r="AD211" i="37" s="1"/>
  <c r="AF304" i="37"/>
  <c r="AF105" i="37"/>
  <c r="AF109" i="37" s="1"/>
  <c r="AF269" i="37"/>
  <c r="AF273" i="37" s="1"/>
  <c r="AD277" i="37" s="1"/>
  <c r="AF171" i="37"/>
  <c r="AF175" i="37" s="1"/>
  <c r="AD177" i="37" s="1"/>
  <c r="AF40" i="37"/>
  <c r="AF236" i="37"/>
  <c r="AF240" i="37" s="1"/>
  <c r="AD244" i="37" s="1"/>
  <c r="AF206" i="37"/>
  <c r="AF39" i="37"/>
  <c r="AF43" i="37" s="1"/>
  <c r="AD45" i="37" s="1"/>
  <c r="AF237" i="37"/>
  <c r="AF241" i="37" s="1"/>
  <c r="AD243" i="37" s="1"/>
  <c r="AF303" i="37"/>
  <c r="AF307" i="37" s="1"/>
  <c r="AD309" i="37" s="1"/>
  <c r="AF305" i="37"/>
  <c r="AF106" i="37"/>
  <c r="AF74" i="37"/>
  <c r="AF103" i="37"/>
  <c r="AF205" i="37"/>
  <c r="AF270" i="37"/>
  <c r="AF274" i="37" s="1"/>
  <c r="AD276" i="37" s="1"/>
  <c r="AF169" i="37"/>
  <c r="AF37" i="37"/>
  <c r="AF202" i="37"/>
  <c r="AF302" i="37"/>
  <c r="AF306" i="37" s="1"/>
  <c r="AD310" i="37" s="1"/>
  <c r="AF173" i="37"/>
  <c r="AF170" i="37"/>
  <c r="AF174" i="37" s="1"/>
  <c r="AF301" i="37"/>
  <c r="AF271" i="37"/>
  <c r="AF272" i="37"/>
  <c r="AF136" i="37"/>
  <c r="AF70" i="37"/>
  <c r="AF268" i="37"/>
  <c r="AD37" i="37"/>
  <c r="AF137" i="37"/>
  <c r="AF141" i="37" s="1"/>
  <c r="AD145" i="37" s="1"/>
  <c r="AF140" i="37"/>
  <c r="AF72" i="37"/>
  <c r="AF76" i="37" s="1"/>
  <c r="AD78" i="37" s="1"/>
  <c r="AF239" i="37"/>
  <c r="Z247" i="37" s="1"/>
  <c r="AF138" i="37"/>
  <c r="AF142" i="37" s="1"/>
  <c r="AD144" i="37" s="1"/>
  <c r="AF204" i="37"/>
  <c r="AF208" i="37" s="1"/>
  <c r="AF73" i="37"/>
  <c r="Z83" i="37" s="1"/>
  <c r="AF139" i="37"/>
  <c r="AF38" i="37"/>
  <c r="AF42" i="37" s="1"/>
  <c r="Z120" i="37" l="1"/>
  <c r="Z116" i="37"/>
  <c r="Z149" i="37"/>
  <c r="Z215" i="37"/>
  <c r="Z54" i="37"/>
  <c r="Z285" i="37"/>
  <c r="Z181" i="37"/>
  <c r="AD111" i="37"/>
  <c r="Z115" i="37"/>
  <c r="Z281" i="37"/>
  <c r="Z186" i="37"/>
  <c r="Z49" i="37"/>
  <c r="Z87" i="37"/>
  <c r="Z248" i="37"/>
  <c r="AD248" i="37" s="1"/>
  <c r="Z280" i="37"/>
  <c r="Z252" i="37"/>
  <c r="AD250" i="37" s="1"/>
  <c r="Z153" i="37"/>
  <c r="Z314" i="37"/>
  <c r="Z53" i="37"/>
  <c r="Z82" i="37"/>
  <c r="AB88" i="37" s="1"/>
  <c r="AD46" i="37"/>
  <c r="Z50" i="37"/>
  <c r="Z182" i="37"/>
  <c r="AD178" i="37"/>
  <c r="Z313" i="37"/>
  <c r="AD210" i="37"/>
  <c r="Z214" i="37"/>
  <c r="Z219" i="37"/>
  <c r="Z148" i="37"/>
  <c r="Z318" i="37"/>
  <c r="AD116" i="37" l="1"/>
  <c r="AB283" i="37"/>
  <c r="AD52" i="37"/>
  <c r="AD184" i="37"/>
  <c r="AB118" i="37"/>
  <c r="AD118" i="37"/>
  <c r="AB250" i="37"/>
  <c r="AB121" i="37"/>
  <c r="AB184" i="37"/>
  <c r="AB51" i="37"/>
  <c r="AB52" i="37"/>
  <c r="AB253" i="37"/>
  <c r="AB286" i="37"/>
  <c r="AD283" i="37"/>
  <c r="AD281" i="37"/>
  <c r="AB154" i="37"/>
  <c r="AD151" i="37"/>
  <c r="AB151" i="37"/>
  <c r="AD149" i="37"/>
  <c r="AD182" i="37"/>
  <c r="AB187" i="37"/>
  <c r="AB319" i="37"/>
  <c r="AB49" i="37"/>
  <c r="AB53" i="37"/>
  <c r="AD54" i="37"/>
  <c r="AB54" i="37"/>
  <c r="AB85" i="37"/>
  <c r="AD85" i="37"/>
  <c r="AD83" i="37"/>
  <c r="AD316" i="37"/>
  <c r="AB316" i="37"/>
  <c r="AD314" i="37"/>
  <c r="AB220" i="37"/>
  <c r="AB217" i="37"/>
  <c r="AD217" i="37"/>
  <c r="AD215" i="37"/>
  <c r="AB56" i="37"/>
  <c r="AB55" i="37"/>
  <c r="AD50" i="37"/>
  <c r="AD49" i="37"/>
  <c r="AB50" i="37"/>
  <c r="AD51" i="37"/>
  <c r="AF50" i="37" l="1"/>
  <c r="AF49" i="37"/>
  <c r="AF51" i="37"/>
  <c r="G39" i="37" l="1"/>
  <c r="J127" i="36" s="1"/>
  <c r="G46" i="37"/>
  <c r="G40" i="37"/>
  <c r="G145" i="36" s="1"/>
  <c r="G51" i="37"/>
  <c r="G47" i="37"/>
  <c r="G65" i="37"/>
  <c r="G55" i="37"/>
  <c r="G61" i="37"/>
  <c r="G44" i="37"/>
  <c r="G50" i="37"/>
  <c r="G60" i="37"/>
  <c r="G42" i="37"/>
  <c r="G66" i="37"/>
  <c r="G49" i="37"/>
  <c r="G41" i="37"/>
  <c r="J145" i="36" s="1"/>
  <c r="G63" i="37"/>
  <c r="G56" i="37"/>
  <c r="G54" i="37"/>
  <c r="G43" i="37"/>
  <c r="G53" i="37"/>
  <c r="F39" i="37"/>
  <c r="I127" i="36" s="1"/>
  <c r="F47" i="37"/>
  <c r="F56" i="37"/>
  <c r="F46" i="37"/>
  <c r="E64" i="37"/>
  <c r="E53" i="37"/>
  <c r="E44" i="37"/>
  <c r="F66" i="37"/>
  <c r="E63" i="37"/>
  <c r="E45" i="37"/>
  <c r="F65" i="37"/>
  <c r="F52" i="37"/>
  <c r="E61" i="37"/>
  <c r="E58" i="37"/>
  <c r="E59" i="37"/>
  <c r="F59" i="37"/>
  <c r="F49" i="37"/>
  <c r="E48" i="37"/>
  <c r="E51" i="37"/>
  <c r="E41" i="37"/>
  <c r="H145" i="36" s="1"/>
  <c r="E49" i="37"/>
  <c r="F63" i="37"/>
  <c r="F43" i="37"/>
  <c r="F40" i="37"/>
  <c r="F145" i="36" s="1"/>
  <c r="E52" i="37"/>
  <c r="E66" i="37"/>
  <c r="F38" i="37"/>
  <c r="F127" i="36" s="1"/>
  <c r="E47" i="37"/>
  <c r="F62" i="37"/>
  <c r="E46" i="37"/>
  <c r="E38" i="37"/>
  <c r="E127" i="36" s="1"/>
  <c r="F51" i="37"/>
  <c r="F64" i="37"/>
  <c r="F42" i="37"/>
  <c r="F50" i="37"/>
  <c r="E54" i="37"/>
  <c r="F44" i="37"/>
  <c r="E62" i="37"/>
  <c r="E56" i="37"/>
  <c r="E65" i="37"/>
  <c r="E57" i="37"/>
  <c r="F55" i="37"/>
  <c r="E60" i="37"/>
  <c r="F45" i="37"/>
  <c r="E43" i="37"/>
  <c r="E50" i="37"/>
  <c r="E40" i="37"/>
  <c r="E145" i="36" s="1"/>
  <c r="F60" i="37"/>
  <c r="F57" i="37"/>
  <c r="E39" i="37"/>
  <c r="H127" i="36" s="1"/>
  <c r="E42" i="37"/>
  <c r="F58" i="37"/>
  <c r="E55" i="37"/>
  <c r="F53" i="37"/>
  <c r="F54" i="37"/>
  <c r="F61" i="37"/>
  <c r="F41" i="37"/>
  <c r="I145" i="36" s="1"/>
  <c r="F48" i="37"/>
  <c r="G62" i="37"/>
  <c r="G58" i="37"/>
  <c r="G64" i="37"/>
  <c r="G45" i="37"/>
  <c r="G52" i="37"/>
  <c r="G59" i="37"/>
  <c r="G38" i="37"/>
  <c r="G127" i="36" s="1"/>
  <c r="G48" i="37"/>
  <c r="G57" i="37"/>
  <c r="K44" i="37" l="1"/>
  <c r="K61" i="37"/>
  <c r="J50" i="37"/>
  <c r="K49" i="37"/>
  <c r="K55" i="37"/>
  <c r="K43" i="37"/>
  <c r="K51" i="37"/>
  <c r="K56" i="37"/>
  <c r="K66" i="37"/>
  <c r="K46" i="37"/>
  <c r="K60" i="37"/>
  <c r="K63" i="37"/>
  <c r="J60" i="37"/>
  <c r="K57" i="37"/>
  <c r="K53" i="37"/>
  <c r="K54" i="37"/>
  <c r="K62" i="37"/>
  <c r="J64" i="37"/>
  <c r="K47" i="37"/>
  <c r="I53" i="37"/>
  <c r="J42" i="37"/>
  <c r="K65" i="37"/>
  <c r="K45" i="37"/>
  <c r="I43" i="37"/>
  <c r="J43" i="37"/>
  <c r="J62" i="37"/>
  <c r="I62" i="37"/>
  <c r="J46" i="37"/>
  <c r="I46" i="37"/>
  <c r="I40" i="37"/>
  <c r="J40" i="37"/>
  <c r="I56" i="37"/>
  <c r="J56" i="37"/>
  <c r="J38" i="37"/>
  <c r="I59" i="37"/>
  <c r="J59" i="37"/>
  <c r="J44" i="37"/>
  <c r="I44" i="37"/>
  <c r="K58" i="37"/>
  <c r="I41" i="37"/>
  <c r="J41" i="37"/>
  <c r="I55" i="37"/>
  <c r="J55" i="37"/>
  <c r="J65" i="37"/>
  <c r="I65" i="37"/>
  <c r="K40" i="37"/>
  <c r="K59" i="37"/>
  <c r="J53" i="37"/>
  <c r="I61" i="37"/>
  <c r="J61" i="37"/>
  <c r="I58" i="37"/>
  <c r="J58" i="37"/>
  <c r="K41" i="37"/>
  <c r="I64" i="37"/>
  <c r="K64" i="37"/>
  <c r="I63" i="37"/>
  <c r="J63" i="37"/>
  <c r="K39" i="37"/>
  <c r="I57" i="37"/>
  <c r="J57" i="37"/>
  <c r="I52" i="37"/>
  <c r="J52" i="37"/>
  <c r="J39" i="37"/>
  <c r="I39" i="37"/>
  <c r="I42" i="37"/>
  <c r="K42" i="37"/>
  <c r="J66" i="37"/>
  <c r="I66" i="37"/>
  <c r="I48" i="37"/>
  <c r="J48" i="37"/>
  <c r="I45" i="37"/>
  <c r="J45" i="37"/>
  <c r="K52" i="37"/>
  <c r="K48" i="37"/>
  <c r="I54" i="37"/>
  <c r="J54" i="37"/>
  <c r="I47" i="37"/>
  <c r="J47" i="37"/>
  <c r="J49" i="37"/>
  <c r="I49" i="37"/>
  <c r="I50" i="37"/>
  <c r="K50" i="37"/>
  <c r="I38" i="37"/>
  <c r="K38" i="37"/>
  <c r="AD70" i="37"/>
  <c r="Z86" i="37" s="1"/>
  <c r="J51" i="37"/>
  <c r="I51" i="37"/>
  <c r="I60" i="37"/>
  <c r="AB82" i="37" l="1"/>
  <c r="AB89" i="37"/>
  <c r="AB84" i="37"/>
  <c r="AB83" i="37"/>
  <c r="AB86" i="37"/>
  <c r="AD82" i="37"/>
  <c r="AB87" i="37"/>
  <c r="AD84" i="37"/>
  <c r="AD87" i="37"/>
  <c r="AF84" i="37" l="1"/>
  <c r="AF83" i="37"/>
  <c r="AF82" i="37"/>
  <c r="E85" i="37" l="1"/>
  <c r="E89" i="37"/>
  <c r="F90" i="37"/>
  <c r="F93" i="37"/>
  <c r="F96" i="37"/>
  <c r="E74" i="37"/>
  <c r="H146" i="36" s="1"/>
  <c r="E87" i="37"/>
  <c r="E82" i="37"/>
  <c r="E99" i="37"/>
  <c r="F77" i="37"/>
  <c r="F81" i="37"/>
  <c r="E92" i="37"/>
  <c r="E80" i="37"/>
  <c r="E96" i="37"/>
  <c r="E76" i="37"/>
  <c r="E88" i="37"/>
  <c r="E75" i="37"/>
  <c r="E95" i="37"/>
  <c r="E97" i="37"/>
  <c r="F98" i="37"/>
  <c r="E91" i="37"/>
  <c r="E78" i="37"/>
  <c r="F88" i="37"/>
  <c r="E90" i="37"/>
  <c r="E77" i="37"/>
  <c r="G81" i="37"/>
  <c r="G86" i="37"/>
  <c r="G84" i="37"/>
  <c r="G90" i="37"/>
  <c r="G95" i="37"/>
  <c r="G99" i="37"/>
  <c r="G73" i="37"/>
  <c r="G146" i="36" s="1"/>
  <c r="G71" i="37"/>
  <c r="G128" i="36" s="1"/>
  <c r="G85" i="37"/>
  <c r="G82" i="37"/>
  <c r="G72" i="37"/>
  <c r="J128" i="36" s="1"/>
  <c r="G87" i="37"/>
  <c r="G76" i="37"/>
  <c r="G93" i="37"/>
  <c r="G94" i="37"/>
  <c r="G75" i="37"/>
  <c r="G96" i="37"/>
  <c r="G97" i="37"/>
  <c r="G91" i="37"/>
  <c r="G92" i="37"/>
  <c r="G78" i="37"/>
  <c r="G98" i="37"/>
  <c r="G77" i="37"/>
  <c r="G74" i="37"/>
  <c r="J146" i="36" s="1"/>
  <c r="G80" i="37"/>
  <c r="G89" i="37"/>
  <c r="G79" i="37"/>
  <c r="G83" i="37"/>
  <c r="G88" i="37"/>
  <c r="F72" i="37"/>
  <c r="I128" i="36" s="1"/>
  <c r="F91" i="37"/>
  <c r="F74" i="37"/>
  <c r="I146" i="36" s="1"/>
  <c r="F75" i="37"/>
  <c r="F71" i="37"/>
  <c r="F128" i="36" s="1"/>
  <c r="F78" i="37"/>
  <c r="E86" i="37"/>
  <c r="F79" i="37"/>
  <c r="E93" i="37"/>
  <c r="F87" i="37"/>
  <c r="E79" i="37"/>
  <c r="E73" i="37"/>
  <c r="E146" i="36" s="1"/>
  <c r="F73" i="37"/>
  <c r="F146" i="36" s="1"/>
  <c r="E72" i="37"/>
  <c r="H128" i="36" s="1"/>
  <c r="F89" i="37"/>
  <c r="E98" i="37"/>
  <c r="E83" i="37"/>
  <c r="F80" i="37"/>
  <c r="F95" i="37"/>
  <c r="F84" i="37"/>
  <c r="F82" i="37"/>
  <c r="F97" i="37"/>
  <c r="F92" i="37"/>
  <c r="F86" i="37"/>
  <c r="E94" i="37"/>
  <c r="F76" i="37"/>
  <c r="F99" i="37"/>
  <c r="E71" i="37"/>
  <c r="E128" i="36" s="1"/>
  <c r="E81" i="37"/>
  <c r="F94" i="37"/>
  <c r="F83" i="37"/>
  <c r="E84" i="37"/>
  <c r="F85" i="37"/>
  <c r="I82" i="37" l="1"/>
  <c r="J82" i="37"/>
  <c r="K99" i="37"/>
  <c r="I78" i="37"/>
  <c r="J95" i="37"/>
  <c r="I90" i="37"/>
  <c r="J88" i="37"/>
  <c r="J85" i="37"/>
  <c r="I88" i="37"/>
  <c r="J90" i="37"/>
  <c r="J89" i="37"/>
  <c r="I77" i="37"/>
  <c r="K95" i="37"/>
  <c r="J99" i="37"/>
  <c r="J77" i="37"/>
  <c r="I96" i="37"/>
  <c r="I89" i="37"/>
  <c r="K98" i="37"/>
  <c r="K93" i="37"/>
  <c r="K87" i="37"/>
  <c r="K77" i="37"/>
  <c r="I80" i="37"/>
  <c r="J91" i="37"/>
  <c r="K96" i="37"/>
  <c r="K81" i="37"/>
  <c r="K88" i="37"/>
  <c r="J76" i="37"/>
  <c r="I95" i="37"/>
  <c r="K85" i="37"/>
  <c r="K90" i="37"/>
  <c r="K83" i="37"/>
  <c r="K97" i="37"/>
  <c r="J74" i="37"/>
  <c r="J92" i="37"/>
  <c r="J87" i="37"/>
  <c r="I97" i="37"/>
  <c r="K94" i="37"/>
  <c r="K92" i="37"/>
  <c r="K79" i="37"/>
  <c r="I87" i="37"/>
  <c r="K84" i="37"/>
  <c r="J75" i="37"/>
  <c r="K76" i="37"/>
  <c r="K80" i="37"/>
  <c r="J73" i="37"/>
  <c r="I73" i="37"/>
  <c r="K89" i="37"/>
  <c r="J80" i="37"/>
  <c r="J84" i="37"/>
  <c r="I84" i="37"/>
  <c r="J98" i="37"/>
  <c r="I98" i="37"/>
  <c r="I72" i="37"/>
  <c r="K72" i="37"/>
  <c r="K82" i="37"/>
  <c r="J96" i="37"/>
  <c r="I83" i="37"/>
  <c r="J83" i="37"/>
  <c r="I91" i="37"/>
  <c r="K91" i="37"/>
  <c r="K71" i="37"/>
  <c r="AD103" i="37"/>
  <c r="Z119" i="37" s="1"/>
  <c r="J97" i="37"/>
  <c r="K86" i="37"/>
  <c r="K75" i="37"/>
  <c r="I92" i="37"/>
  <c r="I71" i="37"/>
  <c r="J71" i="37"/>
  <c r="I94" i="37"/>
  <c r="J94" i="37"/>
  <c r="I93" i="37"/>
  <c r="J93" i="37"/>
  <c r="I75" i="37"/>
  <c r="I74" i="37"/>
  <c r="K74" i="37"/>
  <c r="I81" i="37"/>
  <c r="J81" i="37"/>
  <c r="K73" i="37"/>
  <c r="I86" i="37"/>
  <c r="J86" i="37"/>
  <c r="I85" i="37"/>
  <c r="K78" i="37"/>
  <c r="J72" i="37"/>
  <c r="I79" i="37"/>
  <c r="J79" i="37"/>
  <c r="I76" i="37"/>
  <c r="I99" i="37"/>
  <c r="J78" i="37"/>
  <c r="AB122" i="37" l="1"/>
  <c r="AD120" i="37"/>
  <c r="AB116" i="37"/>
  <c r="AB115" i="37"/>
  <c r="AB117" i="37"/>
  <c r="AD117" i="37"/>
  <c r="AB120" i="37"/>
  <c r="AD115" i="37"/>
  <c r="AB119" i="37"/>
  <c r="AF116" i="37" l="1"/>
  <c r="AF117" i="37"/>
  <c r="AF115" i="37"/>
  <c r="G121" i="37" l="1"/>
  <c r="E120" i="37"/>
  <c r="G129" i="37"/>
  <c r="E104" i="37"/>
  <c r="E129" i="36" s="1"/>
  <c r="E126" i="37"/>
  <c r="F129" i="37"/>
  <c r="E110" i="37"/>
  <c r="E107" i="37"/>
  <c r="H147" i="36" s="1"/>
  <c r="E127" i="37"/>
  <c r="E121" i="37"/>
  <c r="F119" i="37"/>
  <c r="E109" i="37"/>
  <c r="E114" i="37"/>
  <c r="E132" i="37"/>
  <c r="E116" i="37"/>
  <c r="E108" i="37"/>
  <c r="E118" i="37"/>
  <c r="E106" i="37"/>
  <c r="E147" i="36" s="1"/>
  <c r="E129" i="37"/>
  <c r="E117" i="37"/>
  <c r="E130" i="37"/>
  <c r="E112" i="37"/>
  <c r="F126" i="37"/>
  <c r="F108" i="37"/>
  <c r="E105" i="37"/>
  <c r="H129" i="36" s="1"/>
  <c r="F120" i="37"/>
  <c r="E125" i="37"/>
  <c r="E115" i="37"/>
  <c r="G125" i="37"/>
  <c r="E128" i="37"/>
  <c r="E111" i="37"/>
  <c r="E131" i="37"/>
  <c r="E119" i="37"/>
  <c r="E122" i="37"/>
  <c r="F111" i="37"/>
  <c r="G123" i="37"/>
  <c r="E113" i="37"/>
  <c r="E123" i="37"/>
  <c r="E124" i="37"/>
  <c r="F114" i="37"/>
  <c r="F109" i="37"/>
  <c r="G122" i="37"/>
  <c r="G117" i="37"/>
  <c r="G119" i="37"/>
  <c r="F110" i="37"/>
  <c r="G110" i="37"/>
  <c r="F115" i="37"/>
  <c r="G115" i="37"/>
  <c r="F127" i="37"/>
  <c r="F107" i="37"/>
  <c r="I147" i="36" s="1"/>
  <c r="F128" i="37"/>
  <c r="G105" i="37"/>
  <c r="J129" i="36" s="1"/>
  <c r="G107" i="37"/>
  <c r="J147" i="36" s="1"/>
  <c r="F122" i="37"/>
  <c r="F125" i="37"/>
  <c r="F132" i="37"/>
  <c r="G118" i="37"/>
  <c r="G128" i="37"/>
  <c r="G109" i="37"/>
  <c r="G124" i="37"/>
  <c r="F105" i="37"/>
  <c r="I129" i="36" s="1"/>
  <c r="F124" i="37"/>
  <c r="F116" i="37"/>
  <c r="G111" i="37"/>
  <c r="G113" i="37"/>
  <c r="F112" i="37"/>
  <c r="G127" i="37"/>
  <c r="G132" i="37"/>
  <c r="G131" i="37"/>
  <c r="G108" i="37"/>
  <c r="F131" i="37"/>
  <c r="G106" i="37"/>
  <c r="G147" i="36" s="1"/>
  <c r="G112" i="37"/>
  <c r="G130" i="37"/>
  <c r="G114" i="37"/>
  <c r="F106" i="37"/>
  <c r="F147" i="36" s="1"/>
  <c r="F113" i="37"/>
  <c r="F123" i="37"/>
  <c r="F121" i="37"/>
  <c r="G126" i="37"/>
  <c r="G116" i="37"/>
  <c r="G104" i="37"/>
  <c r="G129" i="36" s="1"/>
  <c r="G120" i="37"/>
  <c r="F104" i="37"/>
  <c r="F129" i="36" s="1"/>
  <c r="F117" i="37"/>
  <c r="F130" i="37"/>
  <c r="F118" i="37"/>
  <c r="J118" i="37" l="1"/>
  <c r="I127" i="37"/>
  <c r="J121" i="37"/>
  <c r="K121" i="37"/>
  <c r="I111" i="37"/>
  <c r="J130" i="37"/>
  <c r="J132" i="37"/>
  <c r="J123" i="37"/>
  <c r="J127" i="37"/>
  <c r="I110" i="37"/>
  <c r="I119" i="37"/>
  <c r="J119" i="37"/>
  <c r="J122" i="37"/>
  <c r="I120" i="37"/>
  <c r="J120" i="37"/>
  <c r="I116" i="37"/>
  <c r="J108" i="37"/>
  <c r="J110" i="37"/>
  <c r="J115" i="37"/>
  <c r="I109" i="37"/>
  <c r="J125" i="37"/>
  <c r="J128" i="37"/>
  <c r="I124" i="37"/>
  <c r="J112" i="37"/>
  <c r="K126" i="37"/>
  <c r="J116" i="37"/>
  <c r="J113" i="37"/>
  <c r="J111" i="37"/>
  <c r="J129" i="37"/>
  <c r="K115" i="37"/>
  <c r="J117" i="37"/>
  <c r="I128" i="37"/>
  <c r="I132" i="37"/>
  <c r="I108" i="37"/>
  <c r="K117" i="37"/>
  <c r="I115" i="37"/>
  <c r="K119" i="37"/>
  <c r="I114" i="37"/>
  <c r="I126" i="37"/>
  <c r="J109" i="37"/>
  <c r="K129" i="37"/>
  <c r="J131" i="37"/>
  <c r="I112" i="37"/>
  <c r="K125" i="37"/>
  <c r="I125" i="37"/>
  <c r="I106" i="37"/>
  <c r="I107" i="37"/>
  <c r="K123" i="37"/>
  <c r="J124" i="37"/>
  <c r="J114" i="37"/>
  <c r="I129" i="37"/>
  <c r="I117" i="37"/>
  <c r="J106" i="37"/>
  <c r="I121" i="37"/>
  <c r="K122" i="37"/>
  <c r="K110" i="37"/>
  <c r="K128" i="37"/>
  <c r="K131" i="37"/>
  <c r="K118" i="37"/>
  <c r="K108" i="37"/>
  <c r="K109" i="37"/>
  <c r="K105" i="37"/>
  <c r="J104" i="37"/>
  <c r="K104" i="37"/>
  <c r="AD136" i="37"/>
  <c r="Z152" i="37" s="1"/>
  <c r="K111" i="37"/>
  <c r="K124" i="37"/>
  <c r="K120" i="37"/>
  <c r="K130" i="37"/>
  <c r="K113" i="37"/>
  <c r="I131" i="37"/>
  <c r="K112" i="37"/>
  <c r="I130" i="37"/>
  <c r="K116" i="37"/>
  <c r="K114" i="37"/>
  <c r="I113" i="37"/>
  <c r="J126" i="37"/>
  <c r="K132" i="37"/>
  <c r="I122" i="37"/>
  <c r="K106" i="37"/>
  <c r="I118" i="37"/>
  <c r="I105" i="37"/>
  <c r="K127" i="37"/>
  <c r="K107" i="37"/>
  <c r="I104" i="37"/>
  <c r="I123" i="37"/>
  <c r="J105" i="37"/>
  <c r="J107" i="37"/>
  <c r="AB148" i="37" l="1"/>
  <c r="AB150" i="37"/>
  <c r="AD150" i="37"/>
  <c r="AD148" i="37"/>
  <c r="AB155" i="37"/>
  <c r="AB152" i="37"/>
  <c r="AD153" i="37"/>
  <c r="AB153" i="37"/>
  <c r="AB149" i="37"/>
  <c r="AF150" i="37" l="1"/>
  <c r="AF149" i="37"/>
  <c r="AF148" i="37"/>
  <c r="G138" i="37" l="1"/>
  <c r="J130" i="36" s="1"/>
  <c r="E155" i="37"/>
  <c r="E138" i="37"/>
  <c r="H130" i="36" s="1"/>
  <c r="F146" i="37"/>
  <c r="G145" i="37"/>
  <c r="E151" i="37"/>
  <c r="G164" i="37"/>
  <c r="F151" i="37"/>
  <c r="F137" i="37"/>
  <c r="F130" i="36" s="1"/>
  <c r="E157" i="37"/>
  <c r="F145" i="37"/>
  <c r="F138" i="37"/>
  <c r="I130" i="36" s="1"/>
  <c r="F165" i="37"/>
  <c r="E145" i="37"/>
  <c r="G163" i="37"/>
  <c r="E158" i="37"/>
  <c r="G146" i="37"/>
  <c r="E163" i="37"/>
  <c r="E164" i="37"/>
  <c r="E137" i="37"/>
  <c r="E130" i="36" s="1"/>
  <c r="E149" i="37"/>
  <c r="E162" i="37"/>
  <c r="F144" i="37"/>
  <c r="E150" i="37"/>
  <c r="E140" i="37"/>
  <c r="H148" i="36" s="1"/>
  <c r="E160" i="37"/>
  <c r="E159" i="37"/>
  <c r="E148" i="37"/>
  <c r="G137" i="37"/>
  <c r="G130" i="36" s="1"/>
  <c r="G161" i="37"/>
  <c r="G152" i="37"/>
  <c r="G147" i="37"/>
  <c r="E156" i="37"/>
  <c r="E161" i="37"/>
  <c r="E142" i="37"/>
  <c r="E154" i="37"/>
  <c r="E144" i="37"/>
  <c r="E141" i="37"/>
  <c r="G143" i="37"/>
  <c r="G140" i="37"/>
  <c r="J148" i="36" s="1"/>
  <c r="G158" i="37"/>
  <c r="E165" i="37"/>
  <c r="F163" i="37"/>
  <c r="F148" i="37"/>
  <c r="E143" i="37"/>
  <c r="E139" i="37"/>
  <c r="E148" i="36" s="1"/>
  <c r="G151" i="37"/>
  <c r="E152" i="37"/>
  <c r="G160" i="37"/>
  <c r="E153" i="37"/>
  <c r="E146" i="37"/>
  <c r="E147" i="37"/>
  <c r="F142" i="37"/>
  <c r="F149" i="37"/>
  <c r="F156" i="37"/>
  <c r="F141" i="37"/>
  <c r="G142" i="37"/>
  <c r="G150" i="37"/>
  <c r="G144" i="37"/>
  <c r="G165" i="37"/>
  <c r="F139" i="37"/>
  <c r="F148" i="36" s="1"/>
  <c r="F140" i="37"/>
  <c r="I148" i="36" s="1"/>
  <c r="G149" i="37"/>
  <c r="F152" i="37"/>
  <c r="G148" i="37"/>
  <c r="G156" i="37"/>
  <c r="G155" i="37"/>
  <c r="F159" i="37"/>
  <c r="F158" i="37"/>
  <c r="G141" i="37"/>
  <c r="G139" i="37"/>
  <c r="G148" i="36" s="1"/>
  <c r="G159" i="37"/>
  <c r="F147" i="37"/>
  <c r="F154" i="37"/>
  <c r="F161" i="37"/>
  <c r="F153" i="37"/>
  <c r="F143" i="37"/>
  <c r="F164" i="37"/>
  <c r="F150" i="37"/>
  <c r="F157" i="37"/>
  <c r="F160" i="37"/>
  <c r="F162" i="37"/>
  <c r="G162" i="37"/>
  <c r="G154" i="37"/>
  <c r="G153" i="37"/>
  <c r="G157" i="37"/>
  <c r="F155" i="37"/>
  <c r="J150" i="37" l="1"/>
  <c r="K164" i="37"/>
  <c r="J151" i="37"/>
  <c r="K144" i="37"/>
  <c r="J164" i="37"/>
  <c r="J143" i="37"/>
  <c r="J162" i="37"/>
  <c r="J156" i="37"/>
  <c r="I144" i="37"/>
  <c r="J149" i="37"/>
  <c r="K145" i="37"/>
  <c r="K165" i="37"/>
  <c r="J141" i="37"/>
  <c r="J145" i="37"/>
  <c r="I165" i="37"/>
  <c r="J161" i="37"/>
  <c r="J158" i="37"/>
  <c r="I151" i="37"/>
  <c r="I152" i="37"/>
  <c r="J155" i="37"/>
  <c r="J146" i="37"/>
  <c r="I163" i="37"/>
  <c r="J165" i="37"/>
  <c r="J160" i="37"/>
  <c r="J142" i="37"/>
  <c r="J159" i="37"/>
  <c r="K146" i="37"/>
  <c r="J140" i="37"/>
  <c r="K137" i="37"/>
  <c r="I158" i="37"/>
  <c r="K160" i="37"/>
  <c r="I156" i="37"/>
  <c r="K151" i="37"/>
  <c r="K161" i="37"/>
  <c r="J157" i="37"/>
  <c r="J139" i="37"/>
  <c r="I141" i="37"/>
  <c r="J153" i="37"/>
  <c r="I139" i="37"/>
  <c r="J152" i="37"/>
  <c r="K149" i="37"/>
  <c r="I148" i="37"/>
  <c r="I145" i="37"/>
  <c r="K152" i="37"/>
  <c r="I149" i="37"/>
  <c r="K147" i="37"/>
  <c r="J138" i="37"/>
  <c r="I142" i="37"/>
  <c r="I154" i="37"/>
  <c r="J148" i="37"/>
  <c r="K150" i="37"/>
  <c r="K163" i="37"/>
  <c r="I153" i="37"/>
  <c r="K139" i="37"/>
  <c r="J137" i="37"/>
  <c r="J154" i="37"/>
  <c r="K148" i="37"/>
  <c r="I138" i="37"/>
  <c r="I137" i="37"/>
  <c r="K142" i="37"/>
  <c r="J163" i="37"/>
  <c r="K155" i="37"/>
  <c r="I146" i="37"/>
  <c r="K138" i="37"/>
  <c r="I140" i="37"/>
  <c r="AD169" i="37"/>
  <c r="Z185" i="37" s="1"/>
  <c r="AB183" i="37" s="1"/>
  <c r="K159" i="37"/>
  <c r="J147" i="37"/>
  <c r="I150" i="37"/>
  <c r="I143" i="37"/>
  <c r="K158" i="37"/>
  <c r="K156" i="37"/>
  <c r="I160" i="37"/>
  <c r="I159" i="37"/>
  <c r="J144" i="37"/>
  <c r="K140" i="37"/>
  <c r="K141" i="37"/>
  <c r="I147" i="37"/>
  <c r="K143" i="37"/>
  <c r="K153" i="37"/>
  <c r="I164" i="37"/>
  <c r="I161" i="37"/>
  <c r="K154" i="37"/>
  <c r="K157" i="37"/>
  <c r="I162" i="37"/>
  <c r="K162" i="37"/>
  <c r="I157" i="37"/>
  <c r="I155" i="37"/>
  <c r="AB181" i="37" l="1"/>
  <c r="AB186" i="37"/>
  <c r="AB182" i="37"/>
  <c r="AB188" i="37"/>
  <c r="AD183" i="37"/>
  <c r="AB185" i="37"/>
  <c r="AD181" i="37"/>
  <c r="AD186" i="37"/>
  <c r="AF181" i="37" l="1"/>
  <c r="AF182" i="37"/>
  <c r="AF183" i="37"/>
  <c r="G174" i="37" l="1"/>
  <c r="F198" i="37"/>
  <c r="G195" i="37"/>
  <c r="G171" i="37"/>
  <c r="J131" i="36" s="1"/>
  <c r="G175" i="37"/>
  <c r="G187" i="37"/>
  <c r="G172" i="37"/>
  <c r="G149" i="36" s="1"/>
  <c r="G196" i="37"/>
  <c r="G181" i="37"/>
  <c r="G173" i="37"/>
  <c r="J149" i="36" s="1"/>
  <c r="G185" i="37"/>
  <c r="G179" i="37"/>
  <c r="G190" i="37"/>
  <c r="G193" i="37"/>
  <c r="G183" i="37"/>
  <c r="G198" i="37"/>
  <c r="G182" i="37"/>
  <c r="G197" i="37"/>
  <c r="G176" i="37"/>
  <c r="G184" i="37"/>
  <c r="G191" i="37"/>
  <c r="G177" i="37"/>
  <c r="G170" i="37"/>
  <c r="G131" i="36" s="1"/>
  <c r="G178" i="37"/>
  <c r="G189" i="37"/>
  <c r="G194" i="37"/>
  <c r="G180" i="37"/>
  <c r="G188" i="37"/>
  <c r="G186" i="37"/>
  <c r="G192" i="37"/>
  <c r="E174" i="37"/>
  <c r="F187" i="37"/>
  <c r="F190" i="37"/>
  <c r="F182" i="37"/>
  <c r="F179" i="37"/>
  <c r="F181" i="37"/>
  <c r="F178" i="37"/>
  <c r="F177" i="37"/>
  <c r="F194" i="37"/>
  <c r="F184" i="37"/>
  <c r="F173" i="37"/>
  <c r="I149" i="36" s="1"/>
  <c r="F196" i="37"/>
  <c r="F175" i="37"/>
  <c r="F172" i="37"/>
  <c r="F149" i="36" s="1"/>
  <c r="F195" i="37"/>
  <c r="F188" i="37"/>
  <c r="F170" i="37"/>
  <c r="F131" i="36" s="1"/>
  <c r="F176" i="37"/>
  <c r="F191" i="37"/>
  <c r="F180" i="37"/>
  <c r="F183" i="37"/>
  <c r="E171" i="37"/>
  <c r="H131" i="36" s="1"/>
  <c r="E176" i="37"/>
  <c r="E177" i="37"/>
  <c r="E172" i="37"/>
  <c r="E149" i="36" s="1"/>
  <c r="E181" i="37"/>
  <c r="E190" i="37"/>
  <c r="E170" i="37"/>
  <c r="E131" i="36" s="1"/>
  <c r="E192" i="37"/>
  <c r="F193" i="37"/>
  <c r="E179" i="37"/>
  <c r="E188" i="37"/>
  <c r="E195" i="37"/>
  <c r="E184" i="37"/>
  <c r="E178" i="37"/>
  <c r="E183" i="37"/>
  <c r="E180" i="37"/>
  <c r="E185" i="37"/>
  <c r="E197" i="37"/>
  <c r="E186" i="37"/>
  <c r="E182" i="37"/>
  <c r="E194" i="37"/>
  <c r="E198" i="37"/>
  <c r="E191" i="37"/>
  <c r="E193" i="37"/>
  <c r="E173" i="37"/>
  <c r="H149" i="36" s="1"/>
  <c r="E196" i="37"/>
  <c r="E187" i="37"/>
  <c r="J187" i="37" s="1"/>
  <c r="E189" i="37"/>
  <c r="F174" i="37"/>
  <c r="E175" i="37"/>
  <c r="F197" i="37"/>
  <c r="F189" i="37"/>
  <c r="F171" i="37"/>
  <c r="I131" i="36" s="1"/>
  <c r="F192" i="37"/>
  <c r="F185" i="37"/>
  <c r="F186" i="37"/>
  <c r="K183" i="37" l="1"/>
  <c r="J180" i="37"/>
  <c r="K177" i="37"/>
  <c r="J177" i="37"/>
  <c r="J193" i="37"/>
  <c r="K192" i="37"/>
  <c r="J174" i="37"/>
  <c r="J196" i="37"/>
  <c r="I198" i="37"/>
  <c r="K181" i="37"/>
  <c r="J197" i="37"/>
  <c r="K197" i="37"/>
  <c r="J182" i="37"/>
  <c r="J189" i="37"/>
  <c r="J194" i="37"/>
  <c r="J181" i="37"/>
  <c r="K198" i="37"/>
  <c r="J192" i="37"/>
  <c r="K194" i="37"/>
  <c r="K178" i="37"/>
  <c r="K182" i="37"/>
  <c r="J185" i="37"/>
  <c r="K195" i="37"/>
  <c r="J176" i="37"/>
  <c r="K185" i="37"/>
  <c r="J195" i="37"/>
  <c r="K193" i="37"/>
  <c r="K175" i="37"/>
  <c r="K179" i="37"/>
  <c r="J179" i="37"/>
  <c r="J186" i="37"/>
  <c r="J188" i="37"/>
  <c r="K188" i="37"/>
  <c r="J175" i="37"/>
  <c r="J191" i="37"/>
  <c r="J183" i="37"/>
  <c r="K196" i="37"/>
  <c r="J184" i="37"/>
  <c r="K176" i="37"/>
  <c r="K184" i="37"/>
  <c r="I178" i="37"/>
  <c r="J190" i="37"/>
  <c r="K191" i="37"/>
  <c r="K190" i="37"/>
  <c r="K172" i="37"/>
  <c r="K180" i="37"/>
  <c r="I174" i="37"/>
  <c r="I187" i="37"/>
  <c r="K171" i="37"/>
  <c r="I172" i="37"/>
  <c r="K187" i="37"/>
  <c r="I195" i="37"/>
  <c r="I176" i="37"/>
  <c r="I197" i="37"/>
  <c r="I179" i="37"/>
  <c r="I185" i="37"/>
  <c r="I192" i="37"/>
  <c r="I181" i="37"/>
  <c r="K173" i="37"/>
  <c r="J198" i="37"/>
  <c r="I190" i="37"/>
  <c r="J178" i="37"/>
  <c r="I189" i="37"/>
  <c r="I196" i="37"/>
  <c r="I171" i="37"/>
  <c r="I175" i="37"/>
  <c r="I183" i="37"/>
  <c r="I180" i="37"/>
  <c r="I182" i="37"/>
  <c r="J170" i="37"/>
  <c r="I173" i="37"/>
  <c r="K174" i="37"/>
  <c r="I194" i="37"/>
  <c r="I184" i="37"/>
  <c r="I188" i="37"/>
  <c r="I186" i="37"/>
  <c r="AD202" i="37"/>
  <c r="Z218" i="37" s="1"/>
  <c r="AD219" i="37" s="1"/>
  <c r="I177" i="37"/>
  <c r="K170" i="37"/>
  <c r="J171" i="37"/>
  <c r="J172" i="37"/>
  <c r="I170" i="37"/>
  <c r="K189" i="37"/>
  <c r="J173" i="37"/>
  <c r="I193" i="37"/>
  <c r="I191" i="37"/>
  <c r="K186" i="37"/>
  <c r="AB216" i="37" l="1"/>
  <c r="AD214" i="37"/>
  <c r="AB219" i="37"/>
  <c r="AD216" i="37"/>
  <c r="AB218" i="37"/>
  <c r="AB221" i="37"/>
  <c r="AB214" i="37"/>
  <c r="AB215" i="37"/>
  <c r="AF215" i="37" l="1"/>
  <c r="AF214" i="37"/>
  <c r="AF216" i="37"/>
  <c r="G222" i="37" l="1"/>
  <c r="G203" i="37"/>
  <c r="G132" i="36" s="1"/>
  <c r="G225" i="37"/>
  <c r="G214" i="37"/>
  <c r="G231" i="37"/>
  <c r="G230" i="37"/>
  <c r="G228" i="37"/>
  <c r="F230" i="37"/>
  <c r="G213" i="37"/>
  <c r="G229" i="37"/>
  <c r="G215" i="37"/>
  <c r="G224" i="37"/>
  <c r="G223" i="37"/>
  <c r="G227" i="37"/>
  <c r="G209" i="37"/>
  <c r="G218" i="37"/>
  <c r="G217" i="37"/>
  <c r="G207" i="37"/>
  <c r="G219" i="37"/>
  <c r="G205" i="37"/>
  <c r="G150" i="36" s="1"/>
  <c r="G220" i="37"/>
  <c r="G221" i="37"/>
  <c r="G211" i="37"/>
  <c r="G206" i="37"/>
  <c r="J150" i="36" s="1"/>
  <c r="G210" i="37"/>
  <c r="G226" i="37"/>
  <c r="G212" i="37"/>
  <c r="G208" i="37"/>
  <c r="G204" i="37"/>
  <c r="J132" i="36" s="1"/>
  <c r="G216" i="37"/>
  <c r="F224" i="37"/>
  <c r="F209" i="37"/>
  <c r="F231" i="37"/>
  <c r="E213" i="37"/>
  <c r="E214" i="37"/>
  <c r="E220" i="37"/>
  <c r="E226" i="37"/>
  <c r="E222" i="37"/>
  <c r="E228" i="37"/>
  <c r="E209" i="37"/>
  <c r="E208" i="37"/>
  <c r="E227" i="37"/>
  <c r="F221" i="37"/>
  <c r="F203" i="37"/>
  <c r="F132" i="36" s="1"/>
  <c r="F213" i="37"/>
  <c r="E229" i="37"/>
  <c r="E212" i="37"/>
  <c r="E219" i="37"/>
  <c r="E207" i="37"/>
  <c r="E224" i="37"/>
  <c r="F218" i="37"/>
  <c r="F223" i="37"/>
  <c r="F219" i="37"/>
  <c r="F228" i="37"/>
  <c r="E211" i="37"/>
  <c r="E230" i="37"/>
  <c r="F227" i="37"/>
  <c r="F215" i="37"/>
  <c r="F222" i="37"/>
  <c r="F212" i="37"/>
  <c r="E206" i="37"/>
  <c r="H150" i="36" s="1"/>
  <c r="E231" i="37"/>
  <c r="F226" i="37"/>
  <c r="F208" i="37"/>
  <c r="F225" i="37"/>
  <c r="E203" i="37"/>
  <c r="E132" i="36" s="1"/>
  <c r="E217" i="37"/>
  <c r="E210" i="37"/>
  <c r="E225" i="37"/>
  <c r="E218" i="37"/>
  <c r="E216" i="37"/>
  <c r="F204" i="37"/>
  <c r="I132" i="36" s="1"/>
  <c r="F211" i="37"/>
  <c r="F229" i="37"/>
  <c r="K229" i="37" s="1"/>
  <c r="F210" i="37"/>
  <c r="F217" i="37"/>
  <c r="F220" i="37"/>
  <c r="F205" i="37"/>
  <c r="F150" i="36" s="1"/>
  <c r="F207" i="37"/>
  <c r="E221" i="37"/>
  <c r="E215" i="37"/>
  <c r="E204" i="37"/>
  <c r="H132" i="36" s="1"/>
  <c r="E205" i="37"/>
  <c r="E150" i="36" s="1"/>
  <c r="E223" i="37"/>
  <c r="F206" i="37"/>
  <c r="I150" i="36" s="1"/>
  <c r="F216" i="37"/>
  <c r="F214" i="37"/>
  <c r="I230" i="37" l="1"/>
  <c r="J222" i="37"/>
  <c r="K220" i="37"/>
  <c r="K216" i="37"/>
  <c r="K210" i="37"/>
  <c r="J217" i="37"/>
  <c r="K218" i="37"/>
  <c r="K213" i="37"/>
  <c r="J218" i="37"/>
  <c r="J213" i="37"/>
  <c r="J210" i="37"/>
  <c r="I231" i="37"/>
  <c r="I222" i="37"/>
  <c r="J227" i="37"/>
  <c r="K221" i="37"/>
  <c r="J223" i="37"/>
  <c r="K223" i="37"/>
  <c r="J220" i="37"/>
  <c r="K228" i="37"/>
  <c r="J214" i="37"/>
  <c r="K230" i="37"/>
  <c r="K214" i="37"/>
  <c r="K211" i="37"/>
  <c r="J226" i="37"/>
  <c r="K219" i="37"/>
  <c r="K224" i="37"/>
  <c r="I215" i="37"/>
  <c r="K225" i="37"/>
  <c r="K215" i="37"/>
  <c r="K212" i="37"/>
  <c r="J225" i="37"/>
  <c r="J229" i="37"/>
  <c r="I221" i="37"/>
  <c r="K227" i="37"/>
  <c r="J207" i="37"/>
  <c r="I223" i="37"/>
  <c r="I212" i="37"/>
  <c r="J211" i="37"/>
  <c r="I219" i="37"/>
  <c r="J209" i="37"/>
  <c r="K209" i="37"/>
  <c r="K207" i="37"/>
  <c r="K226" i="37"/>
  <c r="J208" i="37"/>
  <c r="K231" i="37"/>
  <c r="I224" i="37"/>
  <c r="J224" i="37"/>
  <c r="J230" i="37"/>
  <c r="I213" i="37"/>
  <c r="J221" i="37"/>
  <c r="I227" i="37"/>
  <c r="I205" i="37"/>
  <c r="I208" i="37"/>
  <c r="J231" i="37"/>
  <c r="I226" i="37"/>
  <c r="J219" i="37"/>
  <c r="I218" i="37"/>
  <c r="I207" i="37"/>
  <c r="I220" i="37"/>
  <c r="K206" i="37"/>
  <c r="I214" i="37"/>
  <c r="J212" i="37"/>
  <c r="J203" i="37"/>
  <c r="J215" i="37"/>
  <c r="I210" i="37"/>
  <c r="I203" i="37"/>
  <c r="J206" i="37"/>
  <c r="I216" i="37"/>
  <c r="I228" i="37"/>
  <c r="I209" i="37"/>
  <c r="K204" i="37"/>
  <c r="I206" i="37"/>
  <c r="I217" i="37"/>
  <c r="I225" i="37"/>
  <c r="J216" i="37"/>
  <c r="K217" i="37"/>
  <c r="K208" i="37"/>
  <c r="I204" i="37"/>
  <c r="K222" i="37"/>
  <c r="I229" i="37"/>
  <c r="AD235" i="37"/>
  <c r="Z251" i="37" s="1"/>
  <c r="J204" i="37"/>
  <c r="I211" i="37"/>
  <c r="J228" i="37"/>
  <c r="K205" i="37"/>
  <c r="K203" i="37"/>
  <c r="J205" i="37"/>
  <c r="AB251" i="37" l="1"/>
  <c r="AB252" i="37"/>
  <c r="AD252" i="37"/>
  <c r="AB247" i="37"/>
  <c r="AB248" i="37"/>
  <c r="AD249" i="37"/>
  <c r="AD247" i="37"/>
  <c r="AB254" i="37"/>
  <c r="AB249" i="37"/>
  <c r="AF248" i="37" l="1"/>
  <c r="AF247" i="37"/>
  <c r="AF249" i="37"/>
  <c r="G251" i="37" l="1"/>
  <c r="G248" i="37"/>
  <c r="G247" i="37"/>
  <c r="G250" i="37"/>
  <c r="G253" i="37"/>
  <c r="G241" i="37"/>
  <c r="G237" i="37"/>
  <c r="J133" i="36" s="1"/>
  <c r="G255" i="37"/>
  <c r="G260" i="37"/>
  <c r="G262" i="37"/>
  <c r="G264" i="37"/>
  <c r="G243" i="37"/>
  <c r="G258" i="37"/>
  <c r="G259" i="37"/>
  <c r="G261" i="37"/>
  <c r="G254" i="37"/>
  <c r="G242" i="37"/>
  <c r="G263" i="37"/>
  <c r="G244" i="37"/>
  <c r="G245" i="37"/>
  <c r="G239" i="37"/>
  <c r="J151" i="36" s="1"/>
  <c r="G257" i="37"/>
  <c r="G249" i="37"/>
  <c r="G236" i="37"/>
  <c r="G133" i="36" s="1"/>
  <c r="G256" i="37"/>
  <c r="G252" i="37"/>
  <c r="G240" i="37"/>
  <c r="G246" i="37"/>
  <c r="G238" i="37"/>
  <c r="G151" i="36" s="1"/>
  <c r="F242" i="37"/>
  <c r="F248" i="37"/>
  <c r="F247" i="37"/>
  <c r="F244" i="37"/>
  <c r="F257" i="37"/>
  <c r="E239" i="37"/>
  <c r="H151" i="36" s="1"/>
  <c r="F260" i="37"/>
  <c r="F252" i="37"/>
  <c r="F251" i="37"/>
  <c r="F250" i="37"/>
  <c r="E254" i="37"/>
  <c r="E262" i="37"/>
  <c r="F239" i="37"/>
  <c r="I151" i="36" s="1"/>
  <c r="E257" i="37"/>
  <c r="F256" i="37"/>
  <c r="E259" i="37"/>
  <c r="E261" i="37"/>
  <c r="F249" i="37"/>
  <c r="F255" i="37"/>
  <c r="E260" i="37"/>
  <c r="E264" i="37"/>
  <c r="F246" i="37"/>
  <c r="E263" i="37"/>
  <c r="E241" i="37"/>
  <c r="F237" i="37"/>
  <c r="I133" i="36" s="1"/>
  <c r="F240" i="37"/>
  <c r="E243" i="37"/>
  <c r="E256" i="37"/>
  <c r="E247" i="37"/>
  <c r="F253" i="37"/>
  <c r="F263" i="37"/>
  <c r="E253" i="37"/>
  <c r="E249" i="37"/>
  <c r="E251" i="37"/>
  <c r="E246" i="37"/>
  <c r="E245" i="37"/>
  <c r="F238" i="37"/>
  <c r="F151" i="36" s="1"/>
  <c r="E244" i="37"/>
  <c r="E248" i="37"/>
  <c r="F254" i="37"/>
  <c r="F258" i="37"/>
  <c r="F236" i="37"/>
  <c r="F133" i="36" s="1"/>
  <c r="E238" i="37"/>
  <c r="E151" i="36" s="1"/>
  <c r="F259" i="37"/>
  <c r="E258" i="37"/>
  <c r="F261" i="37"/>
  <c r="F264" i="37"/>
  <c r="E240" i="37"/>
  <c r="E250" i="37"/>
  <c r="E242" i="37"/>
  <c r="F245" i="37"/>
  <c r="E237" i="37"/>
  <c r="H133" i="36" s="1"/>
  <c r="F241" i="37"/>
  <c r="E255" i="37"/>
  <c r="F243" i="37"/>
  <c r="F262" i="37"/>
  <c r="E252" i="37"/>
  <c r="E236" i="37"/>
  <c r="E133" i="36" s="1"/>
  <c r="K255" i="37" l="1"/>
  <c r="K241" i="37"/>
  <c r="K254" i="37"/>
  <c r="K259" i="37"/>
  <c r="K257" i="37"/>
  <c r="K253" i="37"/>
  <c r="K243" i="37"/>
  <c r="K260" i="37"/>
  <c r="K258" i="37"/>
  <c r="K264" i="37"/>
  <c r="K246" i="37"/>
  <c r="K251" i="37"/>
  <c r="K240" i="37"/>
  <c r="K250" i="37"/>
  <c r="K244" i="37"/>
  <c r="K249" i="37"/>
  <c r="I258" i="37"/>
  <c r="J258" i="37"/>
  <c r="I242" i="37"/>
  <c r="J242" i="37"/>
  <c r="I237" i="37"/>
  <c r="J237" i="37"/>
  <c r="J245" i="37"/>
  <c r="I245" i="37"/>
  <c r="J256" i="37"/>
  <c r="I256" i="37"/>
  <c r="J260" i="37"/>
  <c r="I260" i="37"/>
  <c r="I262" i="37"/>
  <c r="J262" i="37"/>
  <c r="K239" i="37"/>
  <c r="J255" i="37"/>
  <c r="I255" i="37"/>
  <c r="I244" i="37"/>
  <c r="J244" i="37"/>
  <c r="J257" i="37"/>
  <c r="I257" i="37"/>
  <c r="I239" i="37"/>
  <c r="J239" i="37"/>
  <c r="K261" i="37"/>
  <c r="J247" i="37"/>
  <c r="I247" i="37"/>
  <c r="J248" i="37"/>
  <c r="I248" i="37"/>
  <c r="I263" i="37"/>
  <c r="J263" i="37"/>
  <c r="K263" i="37"/>
  <c r="K256" i="37"/>
  <c r="K238" i="37"/>
  <c r="I240" i="37"/>
  <c r="J240" i="37"/>
  <c r="I253" i="37"/>
  <c r="J253" i="37"/>
  <c r="I241" i="37"/>
  <c r="J241" i="37"/>
  <c r="I259" i="37"/>
  <c r="J259" i="37"/>
  <c r="K262" i="37"/>
  <c r="K252" i="37"/>
  <c r="I264" i="37"/>
  <c r="J264" i="37"/>
  <c r="J252" i="37"/>
  <c r="I252" i="37"/>
  <c r="I250" i="37"/>
  <c r="J250" i="37"/>
  <c r="I249" i="37"/>
  <c r="J249" i="37"/>
  <c r="K237" i="37"/>
  <c r="I261" i="37"/>
  <c r="J261" i="37"/>
  <c r="K242" i="37"/>
  <c r="I236" i="37"/>
  <c r="J236" i="37"/>
  <c r="J251" i="37"/>
  <c r="I251" i="37"/>
  <c r="AD268" i="37"/>
  <c r="Z284" i="37" s="1"/>
  <c r="K236" i="37"/>
  <c r="I238" i="37"/>
  <c r="J238" i="37"/>
  <c r="J246" i="37"/>
  <c r="I246" i="37"/>
  <c r="I243" i="37"/>
  <c r="J243" i="37"/>
  <c r="J254" i="37"/>
  <c r="I254" i="37"/>
  <c r="K248" i="37"/>
  <c r="K245" i="37"/>
  <c r="K247" i="37"/>
  <c r="AD282" i="37" l="1"/>
  <c r="AD285" i="37"/>
  <c r="AD280" i="37"/>
  <c r="AB280" i="37"/>
  <c r="AB285" i="37"/>
  <c r="AB284" i="37"/>
  <c r="AB282" i="37"/>
  <c r="AB287" i="37"/>
  <c r="AB281" i="37"/>
  <c r="AF280" i="37" l="1"/>
  <c r="AF281" i="37"/>
  <c r="AF282" i="37"/>
  <c r="G269" i="37" l="1"/>
  <c r="G134" i="36" s="1"/>
  <c r="G292" i="37"/>
  <c r="G280" i="37"/>
  <c r="G293" i="37"/>
  <c r="G276" i="37"/>
  <c r="G272" i="37"/>
  <c r="J152" i="36" s="1"/>
  <c r="G274" i="37"/>
  <c r="G294" i="37"/>
  <c r="G271" i="37"/>
  <c r="G152" i="36" s="1"/>
  <c r="G279" i="37"/>
  <c r="G285" i="37"/>
  <c r="G283" i="37"/>
  <c r="G282" i="37"/>
  <c r="G270" i="37"/>
  <c r="J134" i="36" s="1"/>
  <c r="G286" i="37"/>
  <c r="G291" i="37"/>
  <c r="G297" i="37"/>
  <c r="G277" i="37"/>
  <c r="G278" i="37"/>
  <c r="G273" i="37"/>
  <c r="G296" i="37"/>
  <c r="G290" i="37"/>
  <c r="G295" i="37"/>
  <c r="G287" i="37"/>
  <c r="G284" i="37"/>
  <c r="G289" i="37"/>
  <c r="G281" i="37"/>
  <c r="G288" i="37"/>
  <c r="G275" i="37"/>
  <c r="E278" i="37"/>
  <c r="E273" i="37"/>
  <c r="F290" i="37"/>
  <c r="F280" i="37"/>
  <c r="E293" i="37"/>
  <c r="E275" i="37"/>
  <c r="E295" i="37"/>
  <c r="E287" i="37"/>
  <c r="E274" i="37"/>
  <c r="E277" i="37"/>
  <c r="F286" i="37"/>
  <c r="F276" i="37"/>
  <c r="F282" i="37"/>
  <c r="E284" i="37"/>
  <c r="F297" i="37"/>
  <c r="E271" i="37"/>
  <c r="E152" i="36" s="1"/>
  <c r="E292" i="37"/>
  <c r="E289" i="37"/>
  <c r="E296" i="37"/>
  <c r="E288" i="37"/>
  <c r="E297" i="37"/>
  <c r="F274" i="37"/>
  <c r="F287" i="37"/>
  <c r="E285" i="37"/>
  <c r="E294" i="37"/>
  <c r="E270" i="37"/>
  <c r="H134" i="36" s="1"/>
  <c r="F283" i="37"/>
  <c r="F278" i="37"/>
  <c r="F272" i="37"/>
  <c r="I152" i="36" s="1"/>
  <c r="F271" i="37"/>
  <c r="F152" i="36" s="1"/>
  <c r="F279" i="37"/>
  <c r="E279" i="37"/>
  <c r="F277" i="37"/>
  <c r="F273" i="37"/>
  <c r="E269" i="37"/>
  <c r="E134" i="36" s="1"/>
  <c r="F289" i="37"/>
  <c r="F296" i="37"/>
  <c r="F293" i="37"/>
  <c r="E282" i="37"/>
  <c r="F292" i="37"/>
  <c r="F281" i="37"/>
  <c r="E280" i="37"/>
  <c r="E286" i="37"/>
  <c r="E272" i="37"/>
  <c r="H152" i="36" s="1"/>
  <c r="F275" i="37"/>
  <c r="E276" i="37"/>
  <c r="F294" i="37"/>
  <c r="F284" i="37"/>
  <c r="F270" i="37"/>
  <c r="I134" i="36" s="1"/>
  <c r="F291" i="37"/>
  <c r="F285" i="37"/>
  <c r="F269" i="37"/>
  <c r="F134" i="36" s="1"/>
  <c r="E291" i="37"/>
  <c r="F288" i="37"/>
  <c r="F295" i="37"/>
  <c r="E283" i="37"/>
  <c r="E290" i="37"/>
  <c r="E281" i="37"/>
  <c r="K296" i="37" l="1"/>
  <c r="K295" i="37"/>
  <c r="K275" i="37"/>
  <c r="K282" i="37"/>
  <c r="K276" i="37"/>
  <c r="K274" i="37"/>
  <c r="K294" i="37"/>
  <c r="K291" i="37"/>
  <c r="K287" i="37"/>
  <c r="K288" i="37"/>
  <c r="K293" i="37"/>
  <c r="K278" i="37"/>
  <c r="K280" i="37"/>
  <c r="K297" i="37"/>
  <c r="K284" i="37"/>
  <c r="K281" i="37"/>
  <c r="K286" i="37"/>
  <c r="AD301" i="37"/>
  <c r="Z317" i="37" s="1"/>
  <c r="K269" i="37"/>
  <c r="I272" i="37"/>
  <c r="J272" i="37"/>
  <c r="I288" i="37"/>
  <c r="J288" i="37"/>
  <c r="K289" i="37"/>
  <c r="I297" i="37"/>
  <c r="J297" i="37"/>
  <c r="J276" i="37"/>
  <c r="I276" i="37"/>
  <c r="K271" i="37"/>
  <c r="J284" i="37"/>
  <c r="I284" i="37"/>
  <c r="J275" i="37"/>
  <c r="I275" i="37"/>
  <c r="J291" i="37"/>
  <c r="I291" i="37"/>
  <c r="I282" i="37"/>
  <c r="J282" i="37"/>
  <c r="J295" i="37"/>
  <c r="I295" i="37"/>
  <c r="K279" i="37"/>
  <c r="J283" i="37"/>
  <c r="I283" i="37"/>
  <c r="I279" i="37"/>
  <c r="J279" i="37"/>
  <c r="I285" i="37"/>
  <c r="J285" i="37"/>
  <c r="J271" i="37"/>
  <c r="I271" i="37"/>
  <c r="J287" i="37"/>
  <c r="I287" i="37"/>
  <c r="K292" i="37"/>
  <c r="K272" i="37"/>
  <c r="I293" i="37"/>
  <c r="J293" i="37"/>
  <c r="K270" i="37"/>
  <c r="I292" i="37"/>
  <c r="J292" i="37"/>
  <c r="J274" i="37"/>
  <c r="I274" i="37"/>
  <c r="I278" i="37"/>
  <c r="J278" i="37"/>
  <c r="K277" i="37"/>
  <c r="I290" i="37"/>
  <c r="J290" i="37"/>
  <c r="I281" i="37"/>
  <c r="J281" i="37"/>
  <c r="I280" i="37"/>
  <c r="J280" i="37"/>
  <c r="J270" i="37"/>
  <c r="I270" i="37"/>
  <c r="I289" i="37"/>
  <c r="J289" i="37"/>
  <c r="J277" i="37"/>
  <c r="I277" i="37"/>
  <c r="I273" i="37"/>
  <c r="J273" i="37"/>
  <c r="K273" i="37"/>
  <c r="I294" i="37"/>
  <c r="J294" i="37"/>
  <c r="J286" i="37"/>
  <c r="I286" i="37"/>
  <c r="J269" i="37"/>
  <c r="I269" i="37"/>
  <c r="I296" i="37"/>
  <c r="J296" i="37"/>
  <c r="K285" i="37"/>
  <c r="K283" i="37"/>
  <c r="K290" i="37"/>
  <c r="AD318" i="37" l="1"/>
  <c r="AB314" i="37"/>
  <c r="AB315" i="37"/>
  <c r="AD313" i="37"/>
  <c r="AD315" i="37"/>
  <c r="AB318" i="37"/>
  <c r="AB317" i="37"/>
  <c r="AB320" i="37"/>
  <c r="AB313" i="37"/>
  <c r="AF313" i="37" l="1"/>
  <c r="AF314" i="37"/>
  <c r="AF315" i="37"/>
  <c r="G315" i="37" l="1"/>
  <c r="G302" i="37"/>
  <c r="G135" i="36" s="1"/>
  <c r="G320" i="37"/>
  <c r="G317" i="37"/>
  <c r="G306" i="37"/>
  <c r="G303" i="37"/>
  <c r="J135" i="36" s="1"/>
  <c r="G330" i="37"/>
  <c r="G305" i="37"/>
  <c r="J153" i="36" s="1"/>
  <c r="G312" i="37"/>
  <c r="G314" i="37"/>
  <c r="G307" i="37"/>
  <c r="G323" i="37"/>
  <c r="G313" i="37"/>
  <c r="G329" i="37"/>
  <c r="G326" i="37"/>
  <c r="G318" i="37"/>
  <c r="G324" i="37"/>
  <c r="G311" i="37"/>
  <c r="G328" i="37"/>
  <c r="G325" i="37"/>
  <c r="G304" i="37"/>
  <c r="G153" i="36" s="1"/>
  <c r="G327" i="37"/>
  <c r="G310" i="37"/>
  <c r="G308" i="37"/>
  <c r="G319" i="37"/>
  <c r="G322" i="37"/>
  <c r="G316" i="37"/>
  <c r="G309" i="37"/>
  <c r="G321" i="37"/>
  <c r="E323" i="37"/>
  <c r="F306" i="37"/>
  <c r="F315" i="37"/>
  <c r="F307" i="37"/>
  <c r="F308" i="37"/>
  <c r="E324" i="37"/>
  <c r="E329" i="37"/>
  <c r="F303" i="37"/>
  <c r="I135" i="36" s="1"/>
  <c r="F321" i="37"/>
  <c r="F312" i="37"/>
  <c r="F318" i="37"/>
  <c r="E311" i="37"/>
  <c r="F327" i="37"/>
  <c r="F313" i="37"/>
  <c r="F310" i="37"/>
  <c r="E317" i="37"/>
  <c r="F317" i="37"/>
  <c r="F322" i="37"/>
  <c r="F323" i="37"/>
  <c r="F330" i="37"/>
  <c r="E304" i="37"/>
  <c r="E153" i="36" s="1"/>
  <c r="E302" i="37"/>
  <c r="E135" i="36" s="1"/>
  <c r="E308" i="37"/>
  <c r="E303" i="37"/>
  <c r="H135" i="36" s="1"/>
  <c r="E319" i="37"/>
  <c r="F319" i="37"/>
  <c r="F328" i="37"/>
  <c r="F314" i="37"/>
  <c r="E318" i="37"/>
  <c r="F329" i="37"/>
  <c r="E321" i="37"/>
  <c r="E306" i="37"/>
  <c r="E325" i="37"/>
  <c r="F320" i="37"/>
  <c r="F302" i="37"/>
  <c r="F135" i="36" s="1"/>
  <c r="F326" i="37"/>
  <c r="E320" i="37"/>
  <c r="E330" i="37"/>
  <c r="E328" i="37"/>
  <c r="E314" i="37"/>
  <c r="F304" i="37"/>
  <c r="F153" i="36" s="1"/>
  <c r="E322" i="37"/>
  <c r="E305" i="37"/>
  <c r="H153" i="36" s="1"/>
  <c r="E310" i="37"/>
  <c r="E327" i="37"/>
  <c r="F324" i="37"/>
  <c r="E315" i="37"/>
  <c r="E309" i="37"/>
  <c r="E312" i="37"/>
  <c r="F316" i="37"/>
  <c r="E307" i="37"/>
  <c r="F311" i="37"/>
  <c r="F305" i="37"/>
  <c r="I153" i="36" s="1"/>
  <c r="F309" i="37"/>
  <c r="E316" i="37"/>
  <c r="E313" i="37"/>
  <c r="E326" i="37"/>
  <c r="F325" i="37"/>
  <c r="K318" i="37" l="1"/>
  <c r="K308" i="37"/>
  <c r="K310" i="37"/>
  <c r="K329" i="37"/>
  <c r="K324" i="37"/>
  <c r="K315" i="37"/>
  <c r="K327" i="37"/>
  <c r="K319" i="37"/>
  <c r="K312" i="37"/>
  <c r="K309" i="37"/>
  <c r="K313" i="37"/>
  <c r="K321" i="37"/>
  <c r="K306" i="37"/>
  <c r="K317" i="37"/>
  <c r="K325" i="37"/>
  <c r="K322" i="37"/>
  <c r="I302" i="37"/>
  <c r="J302" i="37"/>
  <c r="K305" i="37"/>
  <c r="I327" i="37"/>
  <c r="J327" i="37"/>
  <c r="I320" i="37"/>
  <c r="J320" i="37"/>
  <c r="I318" i="37"/>
  <c r="J318" i="37"/>
  <c r="I304" i="37"/>
  <c r="J304" i="37"/>
  <c r="I330" i="37"/>
  <c r="J330" i="37"/>
  <c r="J316" i="37"/>
  <c r="I316" i="37"/>
  <c r="J328" i="37"/>
  <c r="I328" i="37"/>
  <c r="I321" i="37"/>
  <c r="J321" i="37"/>
  <c r="J308" i="37"/>
  <c r="I308" i="37"/>
  <c r="I329" i="37"/>
  <c r="J329" i="37"/>
  <c r="I324" i="37"/>
  <c r="J324" i="37"/>
  <c r="J315" i="37"/>
  <c r="I315" i="37"/>
  <c r="J313" i="37"/>
  <c r="I313" i="37"/>
  <c r="J309" i="37"/>
  <c r="I309" i="37"/>
  <c r="I314" i="37"/>
  <c r="J314" i="37"/>
  <c r="I306" i="37"/>
  <c r="J306" i="37"/>
  <c r="J303" i="37"/>
  <c r="I303" i="37"/>
  <c r="J317" i="37"/>
  <c r="I317" i="37"/>
  <c r="K303" i="37"/>
  <c r="I326" i="37"/>
  <c r="J326" i="37"/>
  <c r="K304" i="37"/>
  <c r="I325" i="37"/>
  <c r="J325" i="37"/>
  <c r="I319" i="37"/>
  <c r="J319" i="37"/>
  <c r="I323" i="37"/>
  <c r="J323" i="37"/>
  <c r="K316" i="37"/>
  <c r="J307" i="37"/>
  <c r="I307" i="37"/>
  <c r="K302" i="37"/>
  <c r="K320" i="37"/>
  <c r="K328" i="37"/>
  <c r="K323" i="37"/>
  <c r="I312" i="37"/>
  <c r="J312" i="37"/>
  <c r="J322" i="37"/>
  <c r="I322" i="37"/>
  <c r="J305" i="37"/>
  <c r="I305" i="37"/>
  <c r="I310" i="37"/>
  <c r="J310" i="37"/>
  <c r="J311" i="37"/>
  <c r="I311" i="37"/>
  <c r="K311" i="37"/>
  <c r="K326" i="37"/>
  <c r="K314" i="37"/>
  <c r="K330" i="37"/>
  <c r="K307" i="37"/>
</calcChain>
</file>

<file path=xl/comments1.xml><?xml version="1.0" encoding="utf-8"?>
<comments xmlns="http://schemas.openxmlformats.org/spreadsheetml/2006/main">
  <authors>
    <author>Abbott Aerospace</author>
  </authors>
  <commentList>
    <comment ref="A13" authorId="0" shapeId="0">
      <text>
        <r>
          <rPr>
            <b/>
            <sz val="9"/>
            <color indexed="81"/>
            <rFont val="Tahoma"/>
            <family val="2"/>
          </rPr>
          <t>Abbott Aerospace:</t>
        </r>
        <r>
          <rPr>
            <sz val="9"/>
            <color indexed="81"/>
            <rFont val="Tahoma"/>
            <family val="2"/>
          </rPr>
          <t xml:space="preserve">
Page title on this line</t>
        </r>
      </text>
    </comment>
    <comment ref="A119" authorId="0" shapeId="0">
      <text>
        <r>
          <rPr>
            <b/>
            <sz val="9"/>
            <color indexed="81"/>
            <rFont val="Tahoma"/>
            <family val="2"/>
          </rPr>
          <t>Abbott Aerospace:</t>
        </r>
        <r>
          <rPr>
            <sz val="9"/>
            <color indexed="81"/>
            <rFont val="Tahoma"/>
            <family val="2"/>
          </rPr>
          <t xml:space="preserve">
Page title on this line</t>
        </r>
      </text>
    </comment>
  </commentList>
</comments>
</file>

<file path=xl/sharedStrings.xml><?xml version="1.0" encoding="utf-8"?>
<sst xmlns="http://schemas.openxmlformats.org/spreadsheetml/2006/main" count="833" uniqueCount="209">
  <si>
    <t>R. Abbott</t>
  </si>
  <si>
    <t>Author:</t>
  </si>
  <si>
    <t>Check:</t>
  </si>
  <si>
    <t>Date:</t>
  </si>
  <si>
    <t>Revision:</t>
  </si>
  <si>
    <t>Report:</t>
  </si>
  <si>
    <t>Page:</t>
  </si>
  <si>
    <t>Section:</t>
  </si>
  <si>
    <t>Document Number:</t>
  </si>
  <si>
    <t>Revision Level :</t>
  </si>
  <si>
    <t xml:space="preserve"> </t>
  </si>
  <si>
    <t>in</t>
  </si>
  <si>
    <t>N</t>
  </si>
  <si>
    <t>Load</t>
  </si>
  <si>
    <t>Total Report Pages:</t>
  </si>
  <si>
    <t xml:space="preserve">Page </t>
  </si>
  <si>
    <t>Title</t>
  </si>
  <si>
    <t>Sub</t>
  </si>
  <si>
    <t>Fig</t>
  </si>
  <si>
    <t>Table</t>
  </si>
  <si>
    <t>No</t>
  </si>
  <si>
    <t>Section Number:</t>
  </si>
  <si>
    <t>Sheet Name</t>
  </si>
  <si>
    <t>Report Title:</t>
  </si>
  <si>
    <t>Title:</t>
  </si>
  <si>
    <t>Running Counts</t>
  </si>
  <si>
    <t>Total Sheet Pages:</t>
  </si>
  <si>
    <t>Total Title No:</t>
  </si>
  <si>
    <t>Total Sub No:</t>
  </si>
  <si>
    <t>Total Fig No:</t>
  </si>
  <si>
    <t>Total Table No:</t>
  </si>
  <si>
    <t>25/04/2009</t>
  </si>
  <si>
    <t>IR</t>
  </si>
  <si>
    <t>F9</t>
  </si>
  <si>
    <t>M6</t>
  </si>
  <si>
    <t>F6</t>
  </si>
  <si>
    <t>K6</t>
  </si>
  <si>
    <t>F8</t>
  </si>
  <si>
    <t>M5</t>
  </si>
  <si>
    <t>F5</t>
  </si>
  <si>
    <t>K5</t>
  </si>
  <si>
    <t>J</t>
  </si>
  <si>
    <t>F7</t>
  </si>
  <si>
    <t>M4</t>
  </si>
  <si>
    <t>F4</t>
  </si>
  <si>
    <t>K4</t>
  </si>
  <si>
    <t>H</t>
  </si>
  <si>
    <t>L</t>
  </si>
  <si>
    <t>G</t>
  </si>
  <si>
    <t>Z9</t>
  </si>
  <si>
    <t>Y9</t>
  </si>
  <si>
    <t>X9</t>
  </si>
  <si>
    <t>F</t>
  </si>
  <si>
    <t>Z8</t>
  </si>
  <si>
    <t>Y8</t>
  </si>
  <si>
    <t>X8</t>
  </si>
  <si>
    <t>E1</t>
  </si>
  <si>
    <t>E</t>
  </si>
  <si>
    <t>Z7</t>
  </si>
  <si>
    <t>Y7</t>
  </si>
  <si>
    <t>X7</t>
  </si>
  <si>
    <t>L1</t>
  </si>
  <si>
    <t>D</t>
  </si>
  <si>
    <t>Z6</t>
  </si>
  <si>
    <t>Y6</t>
  </si>
  <si>
    <t>X6</t>
  </si>
  <si>
    <t>N1</t>
  </si>
  <si>
    <t>C</t>
  </si>
  <si>
    <t>Z5</t>
  </si>
  <si>
    <t>Y5</t>
  </si>
  <si>
    <t>X5</t>
  </si>
  <si>
    <t>Q3</t>
  </si>
  <si>
    <t>B</t>
  </si>
  <si>
    <t>Z4</t>
  </si>
  <si>
    <t>Y4</t>
  </si>
  <si>
    <t>X4</t>
  </si>
  <si>
    <t>Q2</t>
  </si>
  <si>
    <t>A</t>
  </si>
  <si>
    <t>Z3</t>
  </si>
  <si>
    <t>Y3</t>
  </si>
  <si>
    <t>X3</t>
  </si>
  <si>
    <t>Q1</t>
  </si>
  <si>
    <r>
      <t>M</t>
    </r>
    <r>
      <rPr>
        <b/>
        <vertAlign val="subscript"/>
        <sz val="12"/>
        <rFont val="Arial"/>
        <family val="2"/>
      </rPr>
      <t>Z</t>
    </r>
    <r>
      <rPr>
        <b/>
        <sz val="12"/>
        <rFont val="Arial"/>
        <family val="2"/>
      </rPr>
      <t>, (Nmm)</t>
    </r>
  </si>
  <si>
    <r>
      <t>M</t>
    </r>
    <r>
      <rPr>
        <b/>
        <vertAlign val="subscript"/>
        <sz val="12"/>
        <rFont val="Arial"/>
        <family val="2"/>
      </rPr>
      <t>Y</t>
    </r>
    <r>
      <rPr>
        <b/>
        <sz val="12"/>
        <rFont val="Arial"/>
        <family val="2"/>
      </rPr>
      <t>, (Nmm)</t>
    </r>
  </si>
  <si>
    <r>
      <t>M</t>
    </r>
    <r>
      <rPr>
        <b/>
        <vertAlign val="subscript"/>
        <sz val="12"/>
        <rFont val="Arial"/>
        <family val="2"/>
      </rPr>
      <t>X</t>
    </r>
    <r>
      <rPr>
        <b/>
        <sz val="12"/>
        <rFont val="Arial"/>
        <family val="2"/>
      </rPr>
      <t>, (Mmm)</t>
    </r>
  </si>
  <si>
    <r>
      <t>F</t>
    </r>
    <r>
      <rPr>
        <b/>
        <vertAlign val="subscript"/>
        <sz val="12"/>
        <rFont val="Arial"/>
        <family val="2"/>
      </rPr>
      <t>Z</t>
    </r>
  </si>
  <si>
    <r>
      <t>F</t>
    </r>
    <r>
      <rPr>
        <b/>
        <vertAlign val="subscript"/>
        <sz val="12"/>
        <rFont val="Arial"/>
        <family val="2"/>
      </rPr>
      <t>Y</t>
    </r>
  </si>
  <si>
    <r>
      <t>F</t>
    </r>
    <r>
      <rPr>
        <b/>
        <vertAlign val="subscript"/>
        <sz val="12"/>
        <rFont val="Arial"/>
        <family val="2"/>
      </rPr>
      <t>X</t>
    </r>
  </si>
  <si>
    <t>Z, (mm)</t>
  </si>
  <si>
    <t>Y, (mm)</t>
  </si>
  <si>
    <t>X, (mm)</t>
  </si>
  <si>
    <t>YZ Shear</t>
  </si>
  <si>
    <t>XZ Shear</t>
  </si>
  <si>
    <t>XY Shear</t>
  </si>
  <si>
    <r>
      <t>P</t>
    </r>
    <r>
      <rPr>
        <b/>
        <vertAlign val="subscript"/>
        <sz val="12"/>
        <rFont val="Arial"/>
        <family val="2"/>
      </rPr>
      <t>Z</t>
    </r>
    <r>
      <rPr>
        <b/>
        <sz val="12"/>
        <rFont val="Arial"/>
        <family val="2"/>
      </rPr>
      <t>, (N)</t>
    </r>
  </si>
  <si>
    <r>
      <t>P</t>
    </r>
    <r>
      <rPr>
        <b/>
        <vertAlign val="subscript"/>
        <sz val="12"/>
        <rFont val="Arial"/>
        <family val="2"/>
      </rPr>
      <t>Y</t>
    </r>
    <r>
      <rPr>
        <b/>
        <sz val="12"/>
        <rFont val="Arial"/>
        <family val="2"/>
      </rPr>
      <t xml:space="preserve"> (N)</t>
    </r>
  </si>
  <si>
    <r>
      <t>P</t>
    </r>
    <r>
      <rPr>
        <b/>
        <vertAlign val="subscript"/>
        <sz val="12"/>
        <rFont val="Arial"/>
        <family val="2"/>
      </rPr>
      <t>X</t>
    </r>
    <r>
      <rPr>
        <b/>
        <sz val="12"/>
        <rFont val="Arial"/>
        <family val="2"/>
      </rPr>
      <t xml:space="preserve"> (N)</t>
    </r>
  </si>
  <si>
    <t>Attach</t>
  </si>
  <si>
    <t>Loc'n</t>
  </si>
  <si>
    <t>Abuse</t>
  </si>
  <si>
    <t>Max vert Gust</t>
  </si>
  <si>
    <t>23.562(b)(2)</t>
  </si>
  <si>
    <t>23.562(b)(1)</t>
  </si>
  <si>
    <t>23.561(b)(2)(iv)</t>
  </si>
  <si>
    <t>25.561(b)(2)(iii)</t>
  </si>
  <si>
    <t>23.561(b)(2)(ii)</t>
  </si>
  <si>
    <t>23.561(b)(2)(i)</t>
  </si>
  <si>
    <t>z</t>
  </si>
  <si>
    <t>y</t>
  </si>
  <si>
    <t>x</t>
  </si>
  <si>
    <t>Ref</t>
  </si>
  <si>
    <t>Factor of Safety</t>
  </si>
  <si>
    <t>Load Case</t>
  </si>
  <si>
    <t>g - level</t>
  </si>
  <si>
    <t>Aft Left</t>
  </si>
  <si>
    <t>Weight of Seat and Occupant assumed to act at Occupant CG</t>
  </si>
  <si>
    <t>Aft Right</t>
  </si>
  <si>
    <t>Fwd Left</t>
  </si>
  <si>
    <t>lb</t>
  </si>
  <si>
    <t>Weight of Passenger</t>
  </si>
  <si>
    <t>Fwd Right</t>
  </si>
  <si>
    <t>Seat Attachment Co-ordinates</t>
  </si>
  <si>
    <t>Weight of Seat</t>
  </si>
  <si>
    <t>kg</t>
  </si>
  <si>
    <t>RH Floor Attachment Position</t>
  </si>
  <si>
    <t>LH Floor Attachment Position</t>
  </si>
  <si>
    <t>Aft Floor Attachment Position</t>
  </si>
  <si>
    <t>Fwd Floor Attachment Position</t>
  </si>
  <si>
    <t>Width of Seat</t>
  </si>
  <si>
    <t>Occupant CG position =</t>
  </si>
  <si>
    <t>Occupant Mass =</t>
  </si>
  <si>
    <t>Seat Position</t>
  </si>
  <si>
    <t>Back Adjustment Axis Position</t>
  </si>
  <si>
    <t>Aft Track Position Height</t>
  </si>
  <si>
    <t>Aft Track Position</t>
  </si>
  <si>
    <t>Members</t>
  </si>
  <si>
    <t>Fwd Track Position Height</t>
  </si>
  <si>
    <t>Fwd Track Position</t>
  </si>
  <si>
    <t>Track Package Height</t>
  </si>
  <si>
    <t>Fwd Leg Position</t>
  </si>
  <si>
    <t>EAD Position</t>
  </si>
  <si>
    <t>Standard Bar Diameter</t>
  </si>
  <si>
    <t>Case</t>
  </si>
  <si>
    <t>Top View</t>
  </si>
  <si>
    <t>Front View</t>
  </si>
  <si>
    <t>Side View</t>
  </si>
  <si>
    <t>Aft</t>
  </si>
  <si>
    <t>Fwd</t>
  </si>
  <si>
    <t>Name</t>
  </si>
  <si>
    <r>
      <t>K</t>
    </r>
    <r>
      <rPr>
        <b/>
        <vertAlign val="subscript"/>
        <sz val="12"/>
        <rFont val="Arial"/>
        <family val="2"/>
      </rPr>
      <t>Z</t>
    </r>
  </si>
  <si>
    <r>
      <t>K</t>
    </r>
    <r>
      <rPr>
        <b/>
        <vertAlign val="subscript"/>
        <sz val="12"/>
        <rFont val="Arial"/>
        <family val="2"/>
      </rPr>
      <t>Y</t>
    </r>
  </si>
  <si>
    <r>
      <t>K</t>
    </r>
    <r>
      <rPr>
        <b/>
        <vertAlign val="subscript"/>
        <sz val="12"/>
        <rFont val="Arial"/>
        <family val="2"/>
      </rPr>
      <t>X</t>
    </r>
  </si>
  <si>
    <t>Reaction Forces</t>
  </si>
  <si>
    <t>Effectivity</t>
  </si>
  <si>
    <t>Attachments</t>
  </si>
  <si>
    <r>
      <t>P</t>
    </r>
    <r>
      <rPr>
        <b/>
        <vertAlign val="subscript"/>
        <sz val="10"/>
        <rFont val="Arial"/>
        <family val="2"/>
      </rPr>
      <t>X</t>
    </r>
    <r>
      <rPr>
        <b/>
        <sz val="10"/>
        <rFont val="Arial"/>
        <family val="2"/>
      </rPr>
      <t xml:space="preserve"> (N)</t>
    </r>
  </si>
  <si>
    <r>
      <t>P</t>
    </r>
    <r>
      <rPr>
        <b/>
        <vertAlign val="subscript"/>
        <sz val="10"/>
        <rFont val="Arial"/>
        <family val="2"/>
      </rPr>
      <t>Y</t>
    </r>
    <r>
      <rPr>
        <b/>
        <sz val="10"/>
        <rFont val="Arial"/>
        <family val="2"/>
      </rPr>
      <t xml:space="preserve"> (N)</t>
    </r>
  </si>
  <si>
    <r>
      <t>P</t>
    </r>
    <r>
      <rPr>
        <b/>
        <vertAlign val="subscript"/>
        <sz val="10"/>
        <rFont val="Arial"/>
        <family val="2"/>
      </rPr>
      <t>Z</t>
    </r>
    <r>
      <rPr>
        <b/>
        <sz val="10"/>
        <rFont val="Arial"/>
        <family val="2"/>
      </rPr>
      <t>, (N)</t>
    </r>
  </si>
  <si>
    <r>
      <t>F</t>
    </r>
    <r>
      <rPr>
        <b/>
        <vertAlign val="subscript"/>
        <sz val="10"/>
        <rFont val="Arial"/>
        <family val="2"/>
      </rPr>
      <t>X</t>
    </r>
  </si>
  <si>
    <r>
      <t>F</t>
    </r>
    <r>
      <rPr>
        <b/>
        <vertAlign val="subscript"/>
        <sz val="10"/>
        <rFont val="Arial"/>
        <family val="2"/>
      </rPr>
      <t>Y</t>
    </r>
  </si>
  <si>
    <r>
      <t>F</t>
    </r>
    <r>
      <rPr>
        <b/>
        <vertAlign val="subscript"/>
        <sz val="10"/>
        <rFont val="Arial"/>
        <family val="2"/>
      </rPr>
      <t>Z</t>
    </r>
  </si>
  <si>
    <r>
      <t>M</t>
    </r>
    <r>
      <rPr>
        <b/>
        <vertAlign val="subscript"/>
        <sz val="10"/>
        <rFont val="Arial"/>
        <family val="2"/>
      </rPr>
      <t>X</t>
    </r>
    <r>
      <rPr>
        <b/>
        <sz val="10"/>
        <rFont val="Arial"/>
        <family val="2"/>
      </rPr>
      <t>, (Mmm)</t>
    </r>
  </si>
  <si>
    <r>
      <t>M</t>
    </r>
    <r>
      <rPr>
        <b/>
        <vertAlign val="subscript"/>
        <sz val="10"/>
        <rFont val="Arial"/>
        <family val="2"/>
      </rPr>
      <t>Y</t>
    </r>
    <r>
      <rPr>
        <b/>
        <sz val="10"/>
        <rFont val="Arial"/>
        <family val="2"/>
      </rPr>
      <t>, (Nmm)</t>
    </r>
  </si>
  <si>
    <r>
      <t>M</t>
    </r>
    <r>
      <rPr>
        <b/>
        <vertAlign val="subscript"/>
        <sz val="10"/>
        <rFont val="Arial"/>
        <family val="2"/>
      </rPr>
      <t>Z</t>
    </r>
    <r>
      <rPr>
        <b/>
        <sz val="10"/>
        <rFont val="Arial"/>
        <family val="2"/>
      </rPr>
      <t>, (Nmm)</t>
    </r>
  </si>
  <si>
    <r>
      <t>P</t>
    </r>
    <r>
      <rPr>
        <b/>
        <vertAlign val="subscript"/>
        <sz val="11"/>
        <rFont val="Arial"/>
        <family val="2"/>
      </rPr>
      <t>X</t>
    </r>
    <r>
      <rPr>
        <b/>
        <sz val="11"/>
        <rFont val="Arial"/>
        <family val="2"/>
      </rPr>
      <t xml:space="preserve"> (N)</t>
    </r>
  </si>
  <si>
    <r>
      <t>P</t>
    </r>
    <r>
      <rPr>
        <b/>
        <vertAlign val="subscript"/>
        <sz val="11"/>
        <rFont val="Arial"/>
        <family val="2"/>
      </rPr>
      <t>Y</t>
    </r>
    <r>
      <rPr>
        <b/>
        <sz val="11"/>
        <rFont val="Arial"/>
        <family val="2"/>
      </rPr>
      <t xml:space="preserve"> (N)</t>
    </r>
  </si>
  <si>
    <r>
      <t>P</t>
    </r>
    <r>
      <rPr>
        <b/>
        <vertAlign val="subscript"/>
        <sz val="11"/>
        <rFont val="Arial"/>
        <family val="2"/>
      </rPr>
      <t>Z</t>
    </r>
    <r>
      <rPr>
        <b/>
        <sz val="11"/>
        <rFont val="Arial"/>
        <family val="2"/>
      </rPr>
      <t>, (N)</t>
    </r>
  </si>
  <si>
    <r>
      <t>F</t>
    </r>
    <r>
      <rPr>
        <b/>
        <vertAlign val="subscript"/>
        <sz val="11"/>
        <rFont val="Arial"/>
        <family val="2"/>
      </rPr>
      <t>X</t>
    </r>
  </si>
  <si>
    <r>
      <t>F</t>
    </r>
    <r>
      <rPr>
        <b/>
        <vertAlign val="subscript"/>
        <sz val="11"/>
        <rFont val="Arial"/>
        <family val="2"/>
      </rPr>
      <t>Y</t>
    </r>
  </si>
  <si>
    <r>
      <t>F</t>
    </r>
    <r>
      <rPr>
        <b/>
        <vertAlign val="subscript"/>
        <sz val="11"/>
        <rFont val="Arial"/>
        <family val="2"/>
      </rPr>
      <t>Z</t>
    </r>
  </si>
  <si>
    <r>
      <t>M</t>
    </r>
    <r>
      <rPr>
        <b/>
        <vertAlign val="subscript"/>
        <sz val="11"/>
        <rFont val="Arial"/>
        <family val="2"/>
      </rPr>
      <t>X</t>
    </r>
    <r>
      <rPr>
        <b/>
        <sz val="11"/>
        <rFont val="Arial"/>
        <family val="2"/>
      </rPr>
      <t>, (Mmm)</t>
    </r>
  </si>
  <si>
    <r>
      <t>M</t>
    </r>
    <r>
      <rPr>
        <b/>
        <vertAlign val="subscript"/>
        <sz val="11"/>
        <rFont val="Arial"/>
        <family val="2"/>
      </rPr>
      <t>Y</t>
    </r>
    <r>
      <rPr>
        <b/>
        <sz val="11"/>
        <rFont val="Arial"/>
        <family val="2"/>
      </rPr>
      <t>, (Nmm)</t>
    </r>
  </si>
  <si>
    <r>
      <t>M</t>
    </r>
    <r>
      <rPr>
        <b/>
        <vertAlign val="subscript"/>
        <sz val="11"/>
        <rFont val="Arial"/>
        <family val="2"/>
      </rPr>
      <t>Z</t>
    </r>
    <r>
      <rPr>
        <b/>
        <sz val="11"/>
        <rFont val="Arial"/>
        <family val="2"/>
      </rPr>
      <t>, (Nmm)</t>
    </r>
  </si>
  <si>
    <t>SEAT INTERFACE LOAD CALCULATION</t>
  </si>
  <si>
    <t>Floor reference Level =</t>
  </si>
  <si>
    <t>Distance between Fwd and Aft Attachment Positions</t>
  </si>
  <si>
    <t>Distance between LH and RH Attachment Positions</t>
  </si>
  <si>
    <t>(in)</t>
  </si>
  <si>
    <t>(Not Used)</t>
  </si>
  <si>
    <t>23.561(b)(2)(iii)</t>
  </si>
  <si>
    <t>25.785(a)</t>
  </si>
  <si>
    <t>lb (Ref 23.785(a))</t>
  </si>
  <si>
    <t>Load at CG position</t>
  </si>
  <si>
    <t>(lb)</t>
  </si>
  <si>
    <t>Loads Input Data</t>
  </si>
  <si>
    <t>IMPORTANT INFORMATION</t>
  </si>
  <si>
    <t>About us:</t>
  </si>
  <si>
    <t xml:space="preserve"> spreadsheets@abbottaerospace.com</t>
  </si>
  <si>
    <t>Proprietary information:</t>
  </si>
  <si>
    <t>AA-SM-507</t>
  </si>
  <si>
    <t>Basic Input Parameters</t>
  </si>
  <si>
    <t>STANDARD SPREADSHEET METHOD</t>
  </si>
  <si>
    <t>If you see errors on this spreadsheet it is because you do not have the XL-Viking Plugin, to find out more:</t>
  </si>
  <si>
    <t>www.XL-Viking.com</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</si>
  <si>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</si>
  <si>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</si>
  <si>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</si>
  <si>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</si>
  <si>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http://www.abbottaerospace.com/subscribe</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</si>
  <si>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</si>
  <si>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</si>
  <si>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</si>
  <si>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</si>
  <si>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</si>
  <si>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http://www.xl-viking.com/download-free-trial/</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</si>
  <si>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</si>
  <si>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</si>
  <si>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</si>
  <si>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http://www.abbottaerospace.com/engineering-services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</si>
</sst>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0"/>
    <numFmt numFmtId="165" formatCode="#,###"/>
    <numFmt numFmtId="166" formatCode="&quot;C&quot;#"/>
    <numFmt numFmtId="167" formatCode="&quot;I&quot;#"/>
    <numFmt numFmtId="168" formatCode="&quot;D&quot;#"/>
    <numFmt numFmtId="169" formatCode="&quot;G&quot;#"/>
    <numFmt numFmtId="170" formatCode="0.00_)"/>
  </numFmts>
  <fonts count="37">
    <font>
      <sz val="10"/>
      <name val="Calibri"/>
      <family val="2"/>
    </font>
    <font>
      <b/>
      <sz val="10"/>
      <name val="Arial"/>
      <family val="2"/>
    </font>
    <font>
      <sz val="10"/>
      <name val="Arial"/>
      <family val="2"/>
    </font>
    <font>
      <sz val="9"/>
      <color indexed="81"/>
      <name val="Tahoma"/>
      <family val="2"/>
    </font>
    <font>
      <b/>
      <sz val="9"/>
      <color indexed="81"/>
      <name val="Tahoma"/>
      <family val="2"/>
    </font>
    <font>
      <sz val="10"/>
      <color indexed="12"/>
      <name val="Arial"/>
      <family val="2"/>
    </font>
    <font>
      <sz val="10"/>
      <name val="Calibri"/>
      <family val="2"/>
    </font>
    <font>
      <sz val="12"/>
      <name val="Calibri"/>
      <family val="2"/>
      <scheme val="minor"/>
    </font>
    <font>
      <b/>
      <sz val="12"/>
      <name val="Calibri"/>
      <family val="2"/>
      <scheme val="minor"/>
    </font>
    <font>
      <sz val="10"/>
      <name val="Calibri"/>
      <family val="2"/>
      <scheme val="minor"/>
    </font>
    <font>
      <b/>
      <sz val="10"/>
      <name val="Calibri"/>
      <family val="2"/>
      <scheme val="minor"/>
    </font>
    <font>
      <sz val="11"/>
      <color theme="1"/>
      <name val="Calibri"/>
      <family val="2"/>
      <scheme val="minor"/>
    </font>
    <font>
      <b/>
      <sz val="10"/>
      <color rgb="FF0000FF"/>
      <name val="Calibri"/>
      <family val="2"/>
      <scheme val="minor"/>
    </font>
    <font>
      <sz val="10"/>
      <name val="Arial"/>
      <family val="2"/>
    </font>
    <font>
      <u/>
      <sz val="10"/>
      <name val="Calibri"/>
      <family val="2"/>
      <scheme val="minor"/>
    </font>
    <font>
      <b/>
      <sz val="12"/>
      <name val="Arial"/>
      <family val="2"/>
    </font>
    <font>
      <b/>
      <vertAlign val="subscript"/>
      <sz val="12"/>
      <name val="Arial"/>
      <family val="2"/>
    </font>
    <font>
      <sz val="12"/>
      <name val="Arial MT"/>
    </font>
    <font>
      <sz val="14"/>
      <name val="Arial"/>
      <family val="2"/>
    </font>
    <font>
      <b/>
      <sz val="14"/>
      <name val="Arial"/>
      <family val="2"/>
    </font>
    <font>
      <b/>
      <sz val="16"/>
      <name val="Arial"/>
      <family val="2"/>
    </font>
    <font>
      <sz val="10"/>
      <color theme="1"/>
      <name val="Calibri"/>
      <family val="2"/>
      <scheme val="minor"/>
    </font>
    <font>
      <b/>
      <vertAlign val="subscript"/>
      <sz val="10"/>
      <name val="Arial"/>
      <family val="2"/>
    </font>
    <font>
      <b/>
      <sz val="10"/>
      <color theme="1"/>
      <name val="Calibri"/>
      <family val="2"/>
      <scheme val="minor"/>
    </font>
    <font>
      <b/>
      <sz val="11"/>
      <name val="Arial"/>
      <family val="2"/>
    </font>
    <font>
      <b/>
      <vertAlign val="subscript"/>
      <sz val="11"/>
      <name val="Arial"/>
      <family val="2"/>
    </font>
    <font>
      <sz val="11"/>
      <name val="Arial"/>
      <family val="2"/>
    </font>
    <font>
      <i/>
      <sz val="10"/>
      <color theme="1"/>
      <name val="Calibri"/>
      <family val="2"/>
      <scheme val="minor"/>
    </font>
    <font>
      <sz val="10"/>
      <color rgb="FF0000FF"/>
      <name val="Calibri"/>
      <family val="2"/>
      <scheme val="minor"/>
    </font>
    <font>
      <b/>
      <sz val="10"/>
      <color rgb="FFFF0000"/>
      <name val="Calibri"/>
      <family val="2"/>
      <scheme val="minor"/>
    </font>
    <font>
      <b/>
      <u/>
      <sz val="10"/>
      <name val="Calibri"/>
      <family val="2"/>
      <scheme val="minor"/>
    </font>
    <font>
      <u/>
      <sz val="10"/>
      <color theme="10"/>
      <name val="Calibri"/>
      <family val="2"/>
    </font>
    <font>
      <b/>
      <i/>
      <sz val="10"/>
      <name val="Calibri"/>
      <family val="2"/>
      <scheme val="minor"/>
    </font>
    <font>
      <b/>
      <i/>
      <u/>
      <sz val="10"/>
      <color theme="10"/>
      <name val="Calibri"/>
      <family val="2"/>
    </font>
    <font>
      <u/>
      <sz val="10"/>
      <color theme="10"/>
      <name val="Arial"/>
    </font>
    <font>
      <u/>
      <sz val="10"/>
      <color theme="10"/>
      <name val="Calibri"/>
      <family val="2"/>
      <scheme val="minor"/>
    </font>
    <font>
      <sz val="10"/>
      <name val="Arial"/>
    </font>
  </fonts>
  <fills count="2">
    <fill>
      <patternFill patternType="none"/>
    </fill>
    <fill>
      <patternFill patternType="gray125"/>
    </fill>
  </fills>
  <borders count="17">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theme="0"/>
      </bottom>
      <diagonal/>
    </border>
  </borders>
  <cellStyleXfs count="11">
    <xf numFmtId="0" fontId="0" fillId="0" borderId="0"/>
    <xf numFmtId="0" fontId="6" fillId="0" borderId="0"/>
    <xf numFmtId="0" fontId="11" fillId="0" borderId="0"/>
    <xf numFmtId="0" fontId="2" fillId="0" borderId="0"/>
    <xf numFmtId="0" fontId="13" fillId="0" borderId="0"/>
    <xf numFmtId="0" fontId="2" fillId="0" borderId="0"/>
    <xf numFmtId="0" fontId="17" fillId="0" borderId="0"/>
    <xf numFmtId="0" fontId="2" fillId="0" borderId="0"/>
    <xf numFmtId="0" fontId="31" fillId="0" borderId="0" applyNumberFormat="0" applyFill="0" applyBorder="0" applyAlignment="0" applyProtection="0">
      <alignment vertical="top"/>
      <protection locked="0"/>
    </xf>
    <xf numFmtId="0" fontId="34" fillId="0" borderId="0" applyNumberFormat="0" applyFill="0" applyBorder="0" applyAlignment="0" applyProtection="0"/>
    <xf numFmtId="0" fontId="36" fillId="0" borderId="0"/>
  </cellStyleXfs>
  <cellXfs count="220">
    <xf numFmtId="0" fontId="0" fillId="0" borderId="0" xfId="0"/>
    <xf numFmtId="0" fontId="9" fillId="0" borderId="0" xfId="3" applyFont="1" applyAlignment="1">
      <alignment horizontal="center"/>
    </xf>
    <xf numFmtId="0" fontId="9" fillId="0" borderId="0" xfId="3" applyFont="1"/>
    <xf numFmtId="0" fontId="9" fillId="0" borderId="0" xfId="3" applyFont="1" applyAlignment="1">
      <alignment horizontal="right"/>
    </xf>
    <xf numFmtId="0" fontId="10" fillId="0" borderId="0" xfId="3" applyFont="1"/>
    <xf numFmtId="0" fontId="10" fillId="0" borderId="0" xfId="3" applyFont="1" applyAlignment="1">
      <alignment horizontal="left"/>
    </xf>
    <xf numFmtId="0" fontId="9" fillId="0" borderId="2" xfId="3" applyFont="1" applyBorder="1" applyAlignment="1">
      <alignment horizontal="center"/>
    </xf>
    <xf numFmtId="0" fontId="9" fillId="0" borderId="1" xfId="3" applyFont="1" applyBorder="1" applyAlignment="1">
      <alignment horizontal="center"/>
    </xf>
    <xf numFmtId="0" fontId="12" fillId="0" borderId="0" xfId="3" applyFont="1" applyAlignment="1">
      <alignment horizontal="left"/>
    </xf>
    <xf numFmtId="0" fontId="10" fillId="0" borderId="0" xfId="3" quotePrefix="1" applyFont="1" applyAlignment="1">
      <alignment vertical="center"/>
    </xf>
    <xf numFmtId="0" fontId="10" fillId="0" borderId="0" xfId="3" applyFont="1" applyAlignment="1">
      <alignment vertical="center"/>
    </xf>
    <xf numFmtId="0" fontId="10" fillId="0" borderId="0" xfId="3" applyFont="1" applyAlignment="1">
      <alignment horizontal="right"/>
    </xf>
    <xf numFmtId="0" fontId="7" fillId="0" borderId="0" xfId="3" applyFont="1"/>
    <xf numFmtId="0" fontId="8" fillId="0" borderId="0" xfId="3" applyFont="1"/>
    <xf numFmtId="0" fontId="7" fillId="0" borderId="1" xfId="3" applyFont="1" applyBorder="1" applyAlignment="1">
      <alignment horizontal="center"/>
    </xf>
    <xf numFmtId="0" fontId="9" fillId="0" borderId="1" xfId="4" applyFont="1" applyBorder="1" applyAlignment="1">
      <alignment horizontal="center"/>
    </xf>
    <xf numFmtId="1" fontId="9" fillId="0" borderId="1" xfId="4" applyNumberFormat="1" applyFont="1" applyBorder="1" applyAlignment="1">
      <alignment horizontal="center"/>
    </xf>
    <xf numFmtId="0" fontId="9" fillId="0" borderId="0" xfId="3" applyFont="1" applyBorder="1" applyAlignment="1"/>
    <xf numFmtId="164" fontId="9" fillId="0" borderId="1" xfId="4" applyNumberFormat="1" applyFont="1" applyBorder="1" applyAlignment="1">
      <alignment horizontal="center"/>
    </xf>
    <xf numFmtId="0" fontId="9" fillId="0" borderId="0" xfId="3" applyFont="1" applyAlignment="1"/>
    <xf numFmtId="0" fontId="14" fillId="0" borderId="0" xfId="3" applyFont="1" applyAlignment="1"/>
    <xf numFmtId="164" fontId="9" fillId="0" borderId="0" xfId="3" applyNumberFormat="1" applyFont="1" applyAlignment="1"/>
    <xf numFmtId="3" fontId="9" fillId="0" borderId="0" xfId="3" applyNumberFormat="1" applyFont="1" applyAlignment="1"/>
    <xf numFmtId="0" fontId="9" fillId="0" borderId="0" xfId="3" applyFont="1" applyFill="1" applyAlignment="1"/>
    <xf numFmtId="11" fontId="9" fillId="0" borderId="0" xfId="3" applyNumberFormat="1" applyFont="1" applyAlignment="1"/>
    <xf numFmtId="0" fontId="11" fillId="0" borderId="0" xfId="2"/>
    <xf numFmtId="0" fontId="2" fillId="0" borderId="0" xfId="5" applyAlignment="1">
      <alignment horizontal="center" vertical="center" wrapText="1"/>
    </xf>
    <xf numFmtId="165" fontId="2" fillId="0" borderId="3" xfId="5" applyNumberFormat="1" applyFill="1" applyBorder="1" applyAlignment="1">
      <alignment horizontal="center" vertical="center" wrapText="1"/>
    </xf>
    <xf numFmtId="3" fontId="1" fillId="0" borderId="3" xfId="5" applyNumberFormat="1" applyFont="1" applyBorder="1" applyAlignment="1">
      <alignment horizontal="center" vertical="center" wrapText="1"/>
    </xf>
    <xf numFmtId="0" fontId="2" fillId="0" borderId="4" xfId="5" applyBorder="1" applyAlignment="1">
      <alignment horizontal="center" vertical="center" wrapText="1"/>
    </xf>
    <xf numFmtId="0" fontId="2" fillId="0" borderId="3" xfId="5" applyFont="1" applyBorder="1" applyAlignment="1">
      <alignment horizontal="center" vertical="center" wrapText="1"/>
    </xf>
    <xf numFmtId="0" fontId="2" fillId="0" borderId="0" xfId="5"/>
    <xf numFmtId="0" fontId="2" fillId="0" borderId="0" xfId="5" applyAlignment="1">
      <alignment horizontal="center"/>
    </xf>
    <xf numFmtId="0" fontId="2" fillId="0" borderId="0" xfId="5" applyBorder="1" applyAlignment="1">
      <alignment horizontal="center" vertical="center" wrapText="1"/>
    </xf>
    <xf numFmtId="0" fontId="2" fillId="0" borderId="3" xfId="5" applyBorder="1" applyAlignment="1">
      <alignment horizontal="center" vertical="center" wrapText="1"/>
    </xf>
    <xf numFmtId="166" fontId="2" fillId="0" borderId="0" xfId="5" applyNumberFormat="1" applyAlignment="1">
      <alignment horizontal="center" vertical="center" wrapText="1"/>
    </xf>
    <xf numFmtId="167" fontId="2" fillId="0" borderId="0" xfId="5" applyNumberFormat="1" applyAlignment="1">
      <alignment horizontal="center" vertical="center" wrapText="1"/>
    </xf>
    <xf numFmtId="168" fontId="2" fillId="0" borderId="0" xfId="5" applyNumberFormat="1" applyAlignment="1">
      <alignment horizontal="center" vertical="center" wrapText="1"/>
    </xf>
    <xf numFmtId="2" fontId="2" fillId="0" borderId="0" xfId="5" applyNumberFormat="1" applyAlignment="1">
      <alignment horizontal="center" vertical="center" wrapText="1"/>
    </xf>
    <xf numFmtId="0" fontId="2" fillId="0" borderId="4" xfId="5" applyFill="1" applyBorder="1" applyAlignment="1">
      <alignment horizontal="center" vertical="center" wrapText="1"/>
    </xf>
    <xf numFmtId="169" fontId="2" fillId="0" borderId="0" xfId="5" applyNumberFormat="1" applyAlignment="1">
      <alignment horizontal="center" vertical="center" wrapText="1"/>
    </xf>
    <xf numFmtId="0" fontId="2" fillId="0" borderId="0" xfId="5" applyNumberFormat="1" applyAlignment="1">
      <alignment horizontal="center" vertical="center" wrapText="1"/>
    </xf>
    <xf numFmtId="0" fontId="2" fillId="0" borderId="0" xfId="5" applyFill="1" applyAlignment="1">
      <alignment horizontal="center" vertical="center" wrapText="1"/>
    </xf>
    <xf numFmtId="3" fontId="1" fillId="0" borderId="3" xfId="5" applyNumberFormat="1" applyFont="1" applyFill="1" applyBorder="1" applyAlignment="1">
      <alignment horizontal="center" vertical="center" wrapText="1"/>
    </xf>
    <xf numFmtId="164" fontId="2" fillId="0" borderId="0" xfId="5" applyNumberFormat="1" applyBorder="1" applyAlignment="1">
      <alignment horizontal="center" vertical="center" wrapText="1"/>
    </xf>
    <xf numFmtId="2" fontId="2" fillId="0" borderId="0" xfId="5" applyNumberFormat="1" applyBorder="1" applyAlignment="1">
      <alignment horizontal="center" vertical="center" wrapText="1"/>
    </xf>
    <xf numFmtId="1" fontId="2" fillId="0" borderId="3" xfId="5" applyNumberFormat="1" applyBorder="1" applyAlignment="1">
      <alignment horizontal="center" vertical="center" wrapText="1"/>
    </xf>
    <xf numFmtId="2" fontId="2" fillId="0" borderId="3" xfId="5" applyNumberFormat="1" applyBorder="1" applyAlignment="1">
      <alignment horizontal="center" vertical="center" wrapText="1"/>
    </xf>
    <xf numFmtId="164" fontId="2" fillId="0" borderId="3" xfId="5" applyNumberFormat="1" applyBorder="1" applyAlignment="1">
      <alignment horizontal="center" vertical="center" wrapText="1"/>
    </xf>
    <xf numFmtId="0" fontId="15" fillId="0" borderId="3" xfId="5" applyFont="1" applyBorder="1" applyAlignment="1">
      <alignment horizontal="center" vertical="center" wrapText="1"/>
    </xf>
    <xf numFmtId="0" fontId="15" fillId="0" borderId="0" xfId="5" applyFont="1" applyAlignment="1">
      <alignment horizontal="center" vertical="center" wrapText="1"/>
    </xf>
    <xf numFmtId="0" fontId="1" fillId="0" borderId="0" xfId="5" applyFont="1" applyAlignment="1">
      <alignment horizontal="left" vertical="center"/>
    </xf>
    <xf numFmtId="0" fontId="15" fillId="0" borderId="0" xfId="5" applyFont="1" applyAlignment="1">
      <alignment horizontal="left" vertical="center"/>
    </xf>
    <xf numFmtId="0" fontId="5" fillId="0" borderId="3" xfId="5" applyFont="1" applyBorder="1" applyAlignment="1">
      <alignment horizontal="center" vertical="center" wrapText="1"/>
    </xf>
    <xf numFmtId="0" fontId="5" fillId="0" borderId="5" xfId="5" applyFont="1" applyBorder="1" applyAlignment="1">
      <alignment horizontal="center" vertical="center" wrapText="1"/>
    </xf>
    <xf numFmtId="2" fontId="2" fillId="0" borderId="3" xfId="5" applyNumberFormat="1" applyFont="1" applyBorder="1" applyAlignment="1">
      <alignment horizontal="center" vertical="center" wrapText="1"/>
    </xf>
    <xf numFmtId="170" fontId="2" fillId="0" borderId="3" xfId="6" applyNumberFormat="1" applyFont="1" applyBorder="1" applyAlignment="1">
      <alignment horizontal="center"/>
    </xf>
    <xf numFmtId="0" fontId="2" fillId="0" borderId="0" xfId="5" applyBorder="1"/>
    <xf numFmtId="0" fontId="15" fillId="0" borderId="0" xfId="5" applyFont="1" applyFill="1" applyAlignment="1">
      <alignment horizontal="center" vertical="center" wrapText="1"/>
    </xf>
    <xf numFmtId="0" fontId="2" fillId="0" borderId="0" xfId="5" applyFill="1"/>
    <xf numFmtId="0" fontId="15" fillId="0" borderId="2" xfId="5" applyFont="1" applyBorder="1" applyAlignment="1">
      <alignment horizontal="center" vertical="center" wrapText="1"/>
    </xf>
    <xf numFmtId="0" fontId="11" fillId="0" borderId="0" xfId="2" applyFont="1"/>
    <xf numFmtId="0" fontId="2" fillId="0" borderId="0" xfId="5" applyFont="1" applyAlignment="1">
      <alignment horizontal="center" vertical="center" wrapText="1"/>
    </xf>
    <xf numFmtId="0" fontId="18" fillId="0" borderId="0" xfId="5" applyFont="1" applyAlignment="1">
      <alignment horizontal="center" vertical="center"/>
    </xf>
    <xf numFmtId="0" fontId="18" fillId="0" borderId="0" xfId="5" applyFont="1" applyAlignment="1">
      <alignment vertical="center"/>
    </xf>
    <xf numFmtId="0" fontId="19" fillId="0" borderId="0" xfId="5" applyFont="1" applyAlignment="1">
      <alignment vertical="center"/>
    </xf>
    <xf numFmtId="0" fontId="20" fillId="0" borderId="0" xfId="5" applyFont="1" applyAlignment="1">
      <alignment horizontal="left" vertical="center"/>
    </xf>
    <xf numFmtId="0" fontId="21" fillId="0" borderId="0" xfId="2" applyFont="1" applyBorder="1"/>
    <xf numFmtId="0" fontId="21" fillId="0" borderId="0" xfId="2" applyFont="1"/>
    <xf numFmtId="0" fontId="1" fillId="0" borderId="3" xfId="5" applyFont="1" applyBorder="1" applyAlignment="1">
      <alignment horizontal="center" vertical="center" wrapText="1"/>
    </xf>
    <xf numFmtId="0" fontId="1" fillId="0" borderId="0" xfId="5" applyFont="1" applyAlignment="1">
      <alignment horizontal="center" vertical="center" wrapText="1"/>
    </xf>
    <xf numFmtId="0" fontId="1" fillId="0" borderId="3" xfId="5" applyFont="1" applyBorder="1" applyAlignment="1">
      <alignment horizontal="center" vertical="center"/>
    </xf>
    <xf numFmtId="0" fontId="2" fillId="0" borderId="0" xfId="5" applyFont="1" applyAlignment="1"/>
    <xf numFmtId="0" fontId="2" fillId="0" borderId="0" xfId="5" applyFont="1" applyBorder="1" applyAlignment="1">
      <alignment horizontal="center" vertical="center" wrapText="1"/>
    </xf>
    <xf numFmtId="2" fontId="2" fillId="0" borderId="0" xfId="5" applyNumberFormat="1" applyFont="1" applyBorder="1" applyAlignment="1">
      <alignment horizontal="center" vertical="center" wrapText="1"/>
    </xf>
    <xf numFmtId="0" fontId="2" fillId="0" borderId="0" xfId="5" applyFont="1"/>
    <xf numFmtId="165" fontId="2" fillId="0" borderId="3" xfId="5" applyNumberFormat="1" applyFont="1" applyFill="1" applyBorder="1" applyAlignment="1">
      <alignment horizontal="center" vertical="center" wrapText="1"/>
    </xf>
    <xf numFmtId="0" fontId="2" fillId="0" borderId="4" xfId="5" applyFont="1" applyBorder="1" applyAlignment="1">
      <alignment horizontal="center" vertical="center" wrapText="1"/>
    </xf>
    <xf numFmtId="0" fontId="21" fillId="0" borderId="0" xfId="2" applyFont="1" applyAlignment="1">
      <alignment horizontal="center"/>
    </xf>
    <xf numFmtId="1" fontId="21" fillId="0" borderId="0" xfId="2" applyNumberFormat="1" applyFont="1"/>
    <xf numFmtId="0" fontId="24" fillId="0" borderId="3" xfId="5" applyFont="1" applyBorder="1" applyAlignment="1">
      <alignment horizontal="center" vertical="center" wrapText="1"/>
    </xf>
    <xf numFmtId="0" fontId="24" fillId="0" borderId="0" xfId="5" applyFont="1" applyAlignment="1">
      <alignment horizontal="center" vertical="center" wrapText="1"/>
    </xf>
    <xf numFmtId="0" fontId="26" fillId="0" borderId="0" xfId="5" applyFont="1" applyAlignment="1">
      <alignment horizontal="center" vertical="center" wrapText="1"/>
    </xf>
    <xf numFmtId="0" fontId="24" fillId="0" borderId="3" xfId="5" applyFont="1" applyBorder="1" applyAlignment="1">
      <alignment horizontal="center" vertical="center"/>
    </xf>
    <xf numFmtId="0" fontId="26" fillId="0" borderId="0" xfId="5" applyFont="1" applyAlignment="1"/>
    <xf numFmtId="0" fontId="26" fillId="0" borderId="0" xfId="5" applyFont="1" applyBorder="1" applyAlignment="1">
      <alignment horizontal="center" vertical="center" wrapText="1"/>
    </xf>
    <xf numFmtId="0" fontId="26" fillId="0" borderId="3" xfId="5" applyFont="1" applyBorder="1" applyAlignment="1">
      <alignment horizontal="center" vertical="center" wrapText="1"/>
    </xf>
    <xf numFmtId="2" fontId="26" fillId="0" borderId="0" xfId="5" applyNumberFormat="1" applyFont="1" applyBorder="1" applyAlignment="1">
      <alignment horizontal="center" vertical="center" wrapText="1"/>
    </xf>
    <xf numFmtId="0" fontId="26" fillId="0" borderId="0" xfId="5" applyFont="1"/>
    <xf numFmtId="0" fontId="26" fillId="0" borderId="4" xfId="5" applyFont="1" applyFill="1" applyBorder="1" applyAlignment="1">
      <alignment horizontal="center" vertical="center" wrapText="1"/>
    </xf>
    <xf numFmtId="3" fontId="24" fillId="0" borderId="3" xfId="5" applyNumberFormat="1" applyFont="1" applyFill="1" applyBorder="1" applyAlignment="1">
      <alignment horizontal="center" vertical="center" wrapText="1"/>
    </xf>
    <xf numFmtId="0" fontId="26" fillId="0" borderId="0" xfId="5" applyFont="1" applyFill="1" applyAlignment="1">
      <alignment horizontal="center" vertical="center" wrapText="1"/>
    </xf>
    <xf numFmtId="165" fontId="26" fillId="0" borderId="3" xfId="5" applyNumberFormat="1" applyFont="1" applyFill="1" applyBorder="1" applyAlignment="1">
      <alignment horizontal="center" vertical="center" wrapText="1"/>
    </xf>
    <xf numFmtId="2" fontId="26" fillId="0" borderId="3" xfId="5" applyNumberFormat="1" applyFont="1" applyBorder="1" applyAlignment="1">
      <alignment horizontal="center" vertical="center" wrapText="1"/>
    </xf>
    <xf numFmtId="164" fontId="26" fillId="0" borderId="3" xfId="5" applyNumberFormat="1" applyFont="1" applyBorder="1" applyAlignment="1">
      <alignment horizontal="center" vertical="center" wrapText="1"/>
    </xf>
    <xf numFmtId="1" fontId="26" fillId="0" borderId="3" xfId="5" applyNumberFormat="1" applyFont="1" applyBorder="1" applyAlignment="1">
      <alignment horizontal="center" vertical="center" wrapText="1"/>
    </xf>
    <xf numFmtId="164" fontId="26" fillId="0" borderId="0" xfId="5" applyNumberFormat="1" applyFont="1" applyBorder="1" applyAlignment="1">
      <alignment horizontal="center" vertical="center" wrapText="1"/>
    </xf>
    <xf numFmtId="3" fontId="24" fillId="0" borderId="3" xfId="5" applyNumberFormat="1" applyFont="1" applyBorder="1" applyAlignment="1">
      <alignment horizontal="center" vertical="center" wrapText="1"/>
    </xf>
    <xf numFmtId="167" fontId="26" fillId="0" borderId="0" xfId="5" applyNumberFormat="1" applyFont="1" applyAlignment="1">
      <alignment horizontal="center" vertical="center" wrapText="1"/>
    </xf>
    <xf numFmtId="2" fontId="26" fillId="0" borderId="0" xfId="5" applyNumberFormat="1" applyFont="1" applyAlignment="1">
      <alignment horizontal="center" vertical="center" wrapText="1"/>
    </xf>
    <xf numFmtId="166" fontId="26" fillId="0" borderId="0" xfId="5" applyNumberFormat="1" applyFont="1" applyAlignment="1">
      <alignment horizontal="center" vertical="center" wrapText="1"/>
    </xf>
    <xf numFmtId="168" fontId="26" fillId="0" borderId="0" xfId="5" applyNumberFormat="1" applyFont="1" applyAlignment="1">
      <alignment horizontal="center" vertical="center" wrapText="1"/>
    </xf>
    <xf numFmtId="169" fontId="26" fillId="0" borderId="0" xfId="5" applyNumberFormat="1" applyFont="1" applyAlignment="1">
      <alignment horizontal="center" vertical="center" wrapText="1"/>
    </xf>
    <xf numFmtId="0" fontId="26" fillId="0" borderId="0" xfId="5" applyNumberFormat="1" applyFont="1" applyAlignment="1">
      <alignment horizontal="center" vertical="center" wrapText="1"/>
    </xf>
    <xf numFmtId="0" fontId="26" fillId="0" borderId="4" xfId="5" applyFont="1" applyBorder="1" applyAlignment="1">
      <alignment horizontal="center" vertical="center" wrapText="1"/>
    </xf>
    <xf numFmtId="0" fontId="26" fillId="0" borderId="0" xfId="5" applyFont="1" applyAlignment="1">
      <alignment horizontal="center"/>
    </xf>
    <xf numFmtId="0" fontId="21" fillId="0" borderId="0" xfId="2" applyFont="1" applyAlignment="1">
      <alignment horizontal="left" indent="1"/>
    </xf>
    <xf numFmtId="0" fontId="21" fillId="0" borderId="0" xfId="2" applyFont="1" applyAlignment="1">
      <alignment horizontal="right"/>
    </xf>
    <xf numFmtId="0" fontId="27" fillId="0" borderId="0" xfId="2" applyFont="1"/>
    <xf numFmtId="0" fontId="23" fillId="0" borderId="0" xfId="2" applyFont="1" applyAlignment="1">
      <alignment horizontal="left"/>
    </xf>
    <xf numFmtId="0" fontId="23" fillId="0" borderId="0" xfId="2" applyFont="1"/>
    <xf numFmtId="0" fontId="27" fillId="0" borderId="4" xfId="2" applyFont="1" applyBorder="1" applyAlignment="1">
      <alignment horizontal="left"/>
    </xf>
    <xf numFmtId="0" fontId="21" fillId="0" borderId="15" xfId="2" applyFont="1" applyBorder="1" applyAlignment="1">
      <alignment horizontal="center"/>
    </xf>
    <xf numFmtId="0" fontId="21" fillId="0" borderId="5" xfId="2" applyFont="1" applyBorder="1" applyAlignment="1">
      <alignment horizontal="center"/>
    </xf>
    <xf numFmtId="0" fontId="21" fillId="0" borderId="14" xfId="2" applyFont="1" applyBorder="1" applyAlignment="1">
      <alignment horizontal="center"/>
    </xf>
    <xf numFmtId="0" fontId="21" fillId="0" borderId="13" xfId="2" applyFont="1" applyBorder="1" applyAlignment="1">
      <alignment horizontal="center"/>
    </xf>
    <xf numFmtId="0" fontId="21" fillId="0" borderId="12" xfId="2" applyFont="1" applyFill="1" applyBorder="1" applyAlignment="1">
      <alignment horizontal="center"/>
    </xf>
    <xf numFmtId="0" fontId="21" fillId="0" borderId="14" xfId="2" applyFont="1" applyFill="1" applyBorder="1" applyAlignment="1">
      <alignment horizontal="center"/>
    </xf>
    <xf numFmtId="0" fontId="21" fillId="0" borderId="13" xfId="2" applyFont="1" applyFill="1" applyBorder="1" applyAlignment="1">
      <alignment horizontal="center"/>
    </xf>
    <xf numFmtId="0" fontId="21" fillId="0" borderId="8" xfId="2" applyFont="1" applyBorder="1" applyAlignment="1">
      <alignment horizontal="center"/>
    </xf>
    <xf numFmtId="0" fontId="21" fillId="0" borderId="7" xfId="2" applyFont="1" applyBorder="1" applyAlignment="1">
      <alignment horizontal="center"/>
    </xf>
    <xf numFmtId="0" fontId="21" fillId="0" borderId="6" xfId="2" applyFont="1" applyBorder="1" applyAlignment="1">
      <alignment horizontal="center"/>
    </xf>
    <xf numFmtId="1" fontId="21" fillId="0" borderId="11" xfId="2" applyNumberFormat="1" applyFont="1" applyBorder="1" applyAlignment="1">
      <alignment horizontal="center"/>
    </xf>
    <xf numFmtId="1" fontId="21" fillId="0" borderId="0" xfId="2" applyNumberFormat="1" applyFont="1" applyBorder="1" applyAlignment="1">
      <alignment horizontal="center"/>
    </xf>
    <xf numFmtId="1" fontId="21" fillId="0" borderId="10" xfId="2" applyNumberFormat="1" applyFont="1" applyBorder="1" applyAlignment="1">
      <alignment horizontal="center"/>
    </xf>
    <xf numFmtId="1" fontId="21" fillId="0" borderId="0" xfId="2" applyNumberFormat="1" applyFont="1" applyBorder="1"/>
    <xf numFmtId="1" fontId="21" fillId="0" borderId="10" xfId="2" applyNumberFormat="1" applyFont="1" applyBorder="1"/>
    <xf numFmtId="1" fontId="21" fillId="0" borderId="8" xfId="2" applyNumberFormat="1" applyFont="1" applyBorder="1"/>
    <xf numFmtId="1" fontId="21" fillId="0" borderId="7" xfId="2" applyNumberFormat="1" applyFont="1" applyBorder="1"/>
    <xf numFmtId="1" fontId="21" fillId="0" borderId="6" xfId="2" applyNumberFormat="1" applyFont="1" applyBorder="1"/>
    <xf numFmtId="0" fontId="21" fillId="0" borderId="0" xfId="2" applyFont="1" applyBorder="1" applyAlignment="1">
      <alignment horizontal="right"/>
    </xf>
    <xf numFmtId="3" fontId="21" fillId="0" borderId="0" xfId="2" applyNumberFormat="1" applyFont="1" applyBorder="1"/>
    <xf numFmtId="0" fontId="27" fillId="0" borderId="15" xfId="2" applyFont="1" applyBorder="1" applyAlignment="1">
      <alignment horizontal="left"/>
    </xf>
    <xf numFmtId="2" fontId="9" fillId="0" borderId="0" xfId="3" applyNumberFormat="1" applyFont="1" applyBorder="1" applyAlignment="1"/>
    <xf numFmtId="0" fontId="28" fillId="0" borderId="0" xfId="2" applyFont="1" applyAlignment="1">
      <alignment horizontal="center"/>
    </xf>
    <xf numFmtId="0" fontId="21" fillId="0" borderId="0" xfId="2" applyFont="1" applyAlignment="1"/>
    <xf numFmtId="0" fontId="21" fillId="0" borderId="14" xfId="2" applyFont="1" applyBorder="1"/>
    <xf numFmtId="0" fontId="23" fillId="0" borderId="11" xfId="2" applyFont="1" applyBorder="1"/>
    <xf numFmtId="0" fontId="23" fillId="0" borderId="0" xfId="2" applyFont="1" applyBorder="1"/>
    <xf numFmtId="0" fontId="23" fillId="0" borderId="0" xfId="2" applyFont="1" applyBorder="1" applyAlignment="1">
      <alignment horizontal="center"/>
    </xf>
    <xf numFmtId="0" fontId="23" fillId="0" borderId="10" xfId="2" applyFont="1" applyBorder="1" applyAlignment="1">
      <alignment horizontal="center"/>
    </xf>
    <xf numFmtId="0" fontId="21" fillId="0" borderId="0" xfId="2" applyFont="1" applyBorder="1" applyAlignment="1">
      <alignment horizontal="center"/>
    </xf>
    <xf numFmtId="0" fontId="21" fillId="0" borderId="10" xfId="2" applyFont="1" applyBorder="1" applyAlignment="1">
      <alignment horizontal="center"/>
    </xf>
    <xf numFmtId="0" fontId="23" fillId="0" borderId="11" xfId="2" applyFont="1" applyBorder="1" applyAlignment="1">
      <alignment horizontal="center"/>
    </xf>
    <xf numFmtId="0" fontId="28" fillId="0" borderId="0" xfId="2" applyFont="1" applyBorder="1" applyAlignment="1">
      <alignment horizontal="center"/>
    </xf>
    <xf numFmtId="0" fontId="28" fillId="0" borderId="10" xfId="2" applyFont="1" applyBorder="1" applyAlignment="1">
      <alignment horizontal="center"/>
    </xf>
    <xf numFmtId="2" fontId="28" fillId="0" borderId="10" xfId="2" applyNumberFormat="1" applyFont="1" applyBorder="1" applyAlignment="1">
      <alignment horizontal="center"/>
    </xf>
    <xf numFmtId="0" fontId="23" fillId="0" borderId="8" xfId="2" applyFont="1" applyBorder="1" applyAlignment="1">
      <alignment horizontal="center"/>
    </xf>
    <xf numFmtId="0" fontId="23" fillId="0" borderId="7" xfId="2" applyFont="1" applyBorder="1" applyAlignment="1">
      <alignment horizontal="center"/>
    </xf>
    <xf numFmtId="0" fontId="28" fillId="0" borderId="7" xfId="2" applyFont="1" applyBorder="1" applyAlignment="1">
      <alignment horizontal="center"/>
    </xf>
    <xf numFmtId="0" fontId="28" fillId="0" borderId="6" xfId="2" applyFont="1" applyBorder="1" applyAlignment="1">
      <alignment horizontal="center"/>
    </xf>
    <xf numFmtId="0" fontId="21" fillId="0" borderId="11" xfId="2" applyFont="1" applyBorder="1" applyAlignment="1">
      <alignment horizontal="center"/>
    </xf>
    <xf numFmtId="0" fontId="28" fillId="0" borderId="11" xfId="2" applyFont="1" applyBorder="1" applyAlignment="1">
      <alignment horizontal="center"/>
    </xf>
    <xf numFmtId="0" fontId="28" fillId="0" borderId="8" xfId="2" applyFont="1" applyBorder="1" applyAlignment="1">
      <alignment horizontal="center"/>
    </xf>
    <xf numFmtId="0" fontId="23" fillId="0" borderId="14" xfId="2" applyFont="1" applyBorder="1" applyAlignment="1">
      <alignment horizontal="center"/>
    </xf>
    <xf numFmtId="0" fontId="28" fillId="0" borderId="14" xfId="2" applyFont="1" applyBorder="1" applyAlignment="1">
      <alignment horizontal="center"/>
    </xf>
    <xf numFmtId="0" fontId="28" fillId="0" borderId="13" xfId="2" applyFont="1" applyBorder="1" applyAlignment="1">
      <alignment horizontal="center"/>
    </xf>
    <xf numFmtId="0" fontId="28" fillId="0" borderId="12" xfId="2" applyFont="1" applyBorder="1" applyAlignment="1">
      <alignment horizontal="center"/>
    </xf>
    <xf numFmtId="0" fontId="9" fillId="0" borderId="12" xfId="3" applyFont="1" applyBorder="1"/>
    <xf numFmtId="0" fontId="10" fillId="0" borderId="10" xfId="3" applyFont="1" applyBorder="1"/>
    <xf numFmtId="0" fontId="23" fillId="0" borderId="14" xfId="2" applyFont="1" applyBorder="1"/>
    <xf numFmtId="0" fontId="10" fillId="0" borderId="12" xfId="3" applyFont="1" applyBorder="1"/>
    <xf numFmtId="0" fontId="23" fillId="0" borderId="8" xfId="2" applyFont="1" applyBorder="1"/>
    <xf numFmtId="0" fontId="23" fillId="0" borderId="6" xfId="2" applyFont="1" applyBorder="1" applyAlignment="1">
      <alignment horizontal="center"/>
    </xf>
    <xf numFmtId="1" fontId="21" fillId="0" borderId="7" xfId="2" applyNumberFormat="1" applyFont="1" applyBorder="1" applyAlignment="1">
      <alignment horizontal="center"/>
    </xf>
    <xf numFmtId="1" fontId="21" fillId="0" borderId="6" xfId="2" applyNumberFormat="1" applyFont="1" applyBorder="1" applyAlignment="1">
      <alignment horizontal="center"/>
    </xf>
    <xf numFmtId="0" fontId="21" fillId="0" borderId="16" xfId="2" applyFont="1" applyBorder="1"/>
    <xf numFmtId="0" fontId="23" fillId="0" borderId="1" xfId="2" applyFont="1" applyBorder="1"/>
    <xf numFmtId="0" fontId="23" fillId="0" borderId="9" xfId="2" applyFont="1" applyBorder="1"/>
    <xf numFmtId="0" fontId="23" fillId="0" borderId="1" xfId="2" applyFont="1" applyBorder="1" applyAlignment="1">
      <alignment horizontal="center"/>
    </xf>
    <xf numFmtId="0" fontId="23" fillId="0" borderId="9" xfId="2" applyFont="1" applyBorder="1" applyAlignment="1">
      <alignment horizontal="center"/>
    </xf>
    <xf numFmtId="164" fontId="23" fillId="0" borderId="11" xfId="2" applyNumberFormat="1" applyFont="1" applyBorder="1" applyAlignment="1">
      <alignment horizontal="center"/>
    </xf>
    <xf numFmtId="164" fontId="23" fillId="0" borderId="8" xfId="2" applyNumberFormat="1" applyFont="1" applyBorder="1" applyAlignment="1">
      <alignment horizontal="center"/>
    </xf>
    <xf numFmtId="0" fontId="21" fillId="0" borderId="2" xfId="2" applyFont="1" applyBorder="1" applyAlignment="1">
      <alignment horizontal="center"/>
    </xf>
    <xf numFmtId="0" fontId="21" fillId="0" borderId="11" xfId="2" applyFont="1" applyBorder="1"/>
    <xf numFmtId="0" fontId="21" fillId="0" borderId="8" xfId="2" applyFont="1" applyBorder="1"/>
    <xf numFmtId="0" fontId="9" fillId="0" borderId="10" xfId="3" applyFont="1" applyBorder="1"/>
    <xf numFmtId="0" fontId="9" fillId="0" borderId="6" xfId="3" applyFont="1" applyBorder="1"/>
    <xf numFmtId="0" fontId="9" fillId="0" borderId="0" xfId="3" applyFont="1" applyProtection="1">
      <protection locked="0"/>
    </xf>
    <xf numFmtId="0" fontId="9" fillId="0" borderId="0" xfId="3" applyFont="1" applyAlignment="1" applyProtection="1">
      <alignment horizontal="right"/>
      <protection locked="0"/>
    </xf>
    <xf numFmtId="0" fontId="29" fillId="0" borderId="0" xfId="3" applyFont="1" applyProtection="1">
      <protection locked="0"/>
    </xf>
    <xf numFmtId="0" fontId="29" fillId="0" borderId="0" xfId="3" applyFont="1" applyAlignment="1" applyProtection="1">
      <alignment horizontal="left"/>
      <protection locked="0"/>
    </xf>
    <xf numFmtId="14" fontId="29" fillId="0" borderId="0" xfId="3" quotePrefix="1" applyNumberFormat="1" applyFont="1" applyProtection="1">
      <protection locked="0"/>
    </xf>
    <xf numFmtId="0" fontId="12" fillId="0" borderId="0" xfId="3" applyFont="1" applyAlignment="1" applyProtection="1">
      <alignment horizontal="left"/>
      <protection locked="0"/>
    </xf>
    <xf numFmtId="0" fontId="9" fillId="0" borderId="0" xfId="7" applyFont="1"/>
    <xf numFmtId="0" fontId="30" fillId="0" borderId="0" xfId="3" applyFont="1"/>
    <xf numFmtId="0" fontId="30" fillId="0" borderId="0" xfId="3" applyFont="1" applyBorder="1" applyAlignment="1"/>
    <xf numFmtId="0" fontId="10" fillId="0" borderId="0" xfId="3" applyFont="1" applyAlignment="1"/>
    <xf numFmtId="0" fontId="29" fillId="0" borderId="0" xfId="3" applyFont="1"/>
    <xf numFmtId="0" fontId="29" fillId="0" borderId="0" xfId="3" applyFont="1" applyAlignment="1">
      <alignment horizontal="left"/>
    </xf>
    <xf numFmtId="0" fontId="31" fillId="0" borderId="0" xfId="8" applyFont="1" applyBorder="1" applyAlignment="1" applyProtection="1">
      <alignment horizontal="center"/>
    </xf>
    <xf numFmtId="0" fontId="9" fillId="0" borderId="0" xfId="0" applyFont="1" applyBorder="1" applyProtection="1">
      <protection locked="0"/>
    </xf>
    <xf numFmtId="0" fontId="9" fillId="0" borderId="0" xfId="0" applyFont="1" applyAlignment="1">
      <alignment horizontal="center"/>
    </xf>
    <xf numFmtId="1" fontId="10" fillId="0" borderId="0" xfId="0" applyNumberFormat="1" applyFont="1" applyBorder="1" applyAlignment="1" applyProtection="1">
      <alignment horizontal="right"/>
      <protection locked="0"/>
    </xf>
    <xf numFmtId="0" fontId="10" fillId="0" borderId="0" xfId="0" applyFont="1" applyAlignment="1">
      <alignment horizontal="center"/>
    </xf>
    <xf numFmtId="0" fontId="10" fillId="0" borderId="0" xfId="0" applyFont="1" applyBorder="1" applyProtection="1">
      <protection locked="0"/>
    </xf>
    <xf numFmtId="0" fontId="32" fillId="0" borderId="0" xfId="0" applyFont="1" applyAlignment="1">
      <alignment horizontal="center"/>
    </xf>
    <xf numFmtId="0" fontId="33" fillId="0" borderId="0" xfId="8" applyFont="1" applyBorder="1" applyAlignment="1" applyProtection="1">
      <alignment horizontal="center"/>
      <protection locked="0"/>
    </xf>
    <xf numFmtId="0" fontId="9" fillId="0" borderId="0" xfId="3" applyFont="1" applyBorder="1" applyAlignment="1">
      <alignment horizontal="center"/>
    </xf>
    <xf numFmtId="0" fontId="9" fillId="0" borderId="0" xfId="3" applyFont="1" applyBorder="1"/>
    <xf numFmtId="0" fontId="9" fillId="0" borderId="0" xfId="3" applyFont="1" applyBorder="1" applyAlignment="1">
      <alignment horizontal="right"/>
    </xf>
    <xf numFmtId="0" fontId="10" fillId="0" borderId="0" xfId="3" applyFont="1" applyBorder="1" applyAlignment="1">
      <alignment horizontal="left"/>
    </xf>
    <xf numFmtId="0" fontId="9" fillId="0" borderId="0" xfId="7" applyFont="1" applyBorder="1" applyAlignment="1">
      <alignment horizontal="center"/>
    </xf>
    <xf numFmtId="1" fontId="9" fillId="0" borderId="0" xfId="7" applyNumberFormat="1" applyFont="1" applyBorder="1" applyAlignment="1">
      <alignment horizontal="center"/>
    </xf>
    <xf numFmtId="0" fontId="7" fillId="0" borderId="0" xfId="3" applyFont="1" applyBorder="1" applyAlignment="1">
      <alignment horizontal="center"/>
    </xf>
    <xf numFmtId="0" fontId="7" fillId="0" borderId="0" xfId="3" applyFont="1" applyBorder="1"/>
    <xf numFmtId="164" fontId="9" fillId="0" borderId="0" xfId="7" applyNumberFormat="1" applyFont="1" applyBorder="1" applyAlignment="1">
      <alignment horizontal="center"/>
    </xf>
    <xf numFmtId="0" fontId="31" fillId="0" borderId="0" xfId="8" applyBorder="1" applyAlignment="1" applyProtection="1">
      <alignment horizontal="center"/>
    </xf>
    <xf numFmtId="0" fontId="9" fillId="0" borderId="0" xfId="3" applyFont="1" applyBorder="1" applyAlignment="1">
      <alignment horizontal="left" vertical="top" wrapText="1"/>
    </xf>
    <xf numFmtId="0" fontId="31" fillId="0" borderId="0" xfId="8" applyBorder="1" applyAlignment="1" applyProtection="1">
      <alignment horizontal="center"/>
    </xf>
    <xf numFmtId="0" fontId="9" fillId="0" borderId="0" xfId="3" applyFont="1" applyBorder="1" applyAlignment="1">
      <alignment horizontal="left" vertical="top" wrapText="1"/>
    </xf>
    <xf numFmtId="0" fontId="23" fillId="0" borderId="13" xfId="2" applyFont="1" applyBorder="1" applyAlignment="1">
      <alignment horizontal="center"/>
    </xf>
    <xf numFmtId="0" fontId="23" fillId="0" borderId="12" xfId="2" applyFont="1" applyBorder="1" applyAlignment="1">
      <alignment horizontal="center"/>
    </xf>
    <xf numFmtId="0" fontId="23" fillId="0" borderId="14" xfId="2" applyFont="1" applyBorder="1" applyAlignment="1">
      <alignment horizontal="center"/>
    </xf>
    <xf numFmtId="0" fontId="23" fillId="0" borderId="11" xfId="2" applyFont="1" applyBorder="1" applyAlignment="1">
      <alignment horizontal="center" wrapText="1"/>
    </xf>
    <xf numFmtId="0" fontId="23" fillId="0" borderId="8" xfId="2" applyFont="1" applyBorder="1" applyAlignment="1">
      <alignment horizontal="center" wrapText="1"/>
    </xf>
    <xf numFmtId="0" fontId="35" fillId="0" borderId="0" xfId="9" applyFont="1" applyBorder="1" applyAlignment="1" applyProtection="1">
      <alignment horizontal="center"/>
    </xf>
    <xf numFmtId="0" fontId="9" fillId="0" borderId="0" xfId="3" applyFont="1" applyBorder="1" applyAlignment="1">
      <alignment horizontal="left" wrapText="1"/>
    </xf>
    <xf numFmtId="0" fontId="36" fillId="0" borderId="0" xfId="10"/>
    <xf numFmtId="0" fontId="34" fillId="0" borderId="0" xfId="9" applyBorder="1" applyAlignment="1">
      <alignment horizontal="center"/>
    </xf>
  </cellXfs>
  <cellStyles count="11">
    <cellStyle name="Hyperlink 2" xfId="8"/>
    <cellStyle name="Hyperlink 3" xfId="9"/>
    <cellStyle name="Normal" xfId="0" builtinId="0" customBuiltin="1"/>
    <cellStyle name="Normal 2" xfId="1"/>
    <cellStyle name="Normal 2 2" xfId="3"/>
    <cellStyle name="Normal 3" xfId="2"/>
    <cellStyle name="Normal 4" xfId="4"/>
    <cellStyle name="Normal 4 2" xfId="7"/>
    <cellStyle name="Normal 5" xfId="10"/>
    <cellStyle name="Normal_3D Bolt Group (2)" xfId="6"/>
    <cellStyle name="Normal_3D Rigid Body Analysis" xfId="5"/>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a:solidFill>
                <a:srgbClr val="FF0000"/>
              </a:solidFill>
            </a:ln>
          </c:spPr>
          <c:marker>
            <c:symbol val="circle"/>
            <c:size val="13"/>
            <c:spPr>
              <a:noFill/>
              <a:ln>
                <a:solidFill>
                  <a:srgbClr val="FF0000"/>
                </a:solidFill>
              </a:ln>
            </c:spPr>
          </c:marker>
          <c:xVal>
            <c:numRef>
              <c:f>PURPOSE!$Y$24</c:f>
              <c:numCache>
                <c:formatCode>General</c:formatCode>
                <c:ptCount val="1"/>
                <c:pt idx="0">
                  <c:v>410</c:v>
                </c:pt>
              </c:numCache>
            </c:numRef>
          </c:xVal>
          <c:yVal>
            <c:numRef>
              <c:f>PURPOSE!$Z$24</c:f>
              <c:numCache>
                <c:formatCode>General</c:formatCode>
                <c:ptCount val="1"/>
                <c:pt idx="0">
                  <c:v>395</c:v>
                </c:pt>
              </c:numCache>
            </c:numRef>
          </c:yVal>
          <c:smooth val="0"/>
          <c:extLst>
            <c:ext xmlns:c16="http://schemas.microsoft.com/office/drawing/2014/chart" uri="{C3380CC4-5D6E-409C-BE32-E72D297353CC}">
              <c16:uniqueId val="{00000000-D1E2-496B-A286-0FEE4631C2D9}"/>
            </c:ext>
          </c:extLst>
        </c:ser>
        <c:ser>
          <c:idx val="1"/>
          <c:order val="1"/>
          <c:spPr>
            <a:ln>
              <a:solidFill>
                <a:schemeClr val="tx1"/>
              </a:solidFill>
            </a:ln>
          </c:spPr>
          <c:marker>
            <c:symbol val="circle"/>
            <c:size val="13"/>
            <c:spPr>
              <a:noFill/>
              <a:ln w="28575">
                <a:solidFill>
                  <a:srgbClr val="00B0F0"/>
                </a:solidFill>
              </a:ln>
            </c:spPr>
          </c:marker>
          <c:xVal>
            <c:numRef>
              <c:f>PURPOSE!$Y$21</c:f>
              <c:numCache>
                <c:formatCode>General</c:formatCode>
                <c:ptCount val="1"/>
                <c:pt idx="0">
                  <c:v>318</c:v>
                </c:pt>
              </c:numCache>
            </c:numRef>
          </c:xVal>
          <c:yVal>
            <c:numRef>
              <c:f>PURPOSE!$Y$22</c:f>
              <c:numCache>
                <c:formatCode>General</c:formatCode>
                <c:ptCount val="1"/>
                <c:pt idx="0">
                  <c:v>42.5</c:v>
                </c:pt>
              </c:numCache>
            </c:numRef>
          </c:yVal>
          <c:smooth val="0"/>
          <c:extLst>
            <c:ext xmlns:c16="http://schemas.microsoft.com/office/drawing/2014/chart" uri="{C3380CC4-5D6E-409C-BE32-E72D297353CC}">
              <c16:uniqueId val="{00000001-D1E2-496B-A286-0FEE4631C2D9}"/>
            </c:ext>
          </c:extLst>
        </c:ser>
        <c:ser>
          <c:idx val="2"/>
          <c:order val="2"/>
          <c:marker>
            <c:symbol val="circle"/>
            <c:size val="13"/>
            <c:spPr>
              <a:noFill/>
              <a:ln w="28575">
                <a:solidFill>
                  <a:srgbClr val="00B0F0"/>
                </a:solidFill>
              </a:ln>
            </c:spPr>
          </c:marker>
          <c:xVal>
            <c:numRef>
              <c:f>PURPOSE!$Y$18</c:f>
              <c:numCache>
                <c:formatCode>General</c:formatCode>
                <c:ptCount val="1"/>
                <c:pt idx="0">
                  <c:v>0</c:v>
                </c:pt>
              </c:numCache>
            </c:numRef>
          </c:xVal>
          <c:yVal>
            <c:numRef>
              <c:f>PURPOSE!$Y$19</c:f>
              <c:numCache>
                <c:formatCode>General</c:formatCode>
                <c:ptCount val="1"/>
                <c:pt idx="0">
                  <c:v>42.5</c:v>
                </c:pt>
              </c:numCache>
            </c:numRef>
          </c:yVal>
          <c:smooth val="0"/>
          <c:extLst>
            <c:ext xmlns:c16="http://schemas.microsoft.com/office/drawing/2014/chart" uri="{C3380CC4-5D6E-409C-BE32-E72D297353CC}">
              <c16:uniqueId val="{00000002-D1E2-496B-A286-0FEE4631C2D9}"/>
            </c:ext>
          </c:extLst>
        </c:ser>
        <c:ser>
          <c:idx val="3"/>
          <c:order val="3"/>
          <c:marker>
            <c:symbol val="circle"/>
            <c:size val="13"/>
            <c:spPr>
              <a:noFill/>
              <a:ln>
                <a:solidFill>
                  <a:srgbClr val="FF0000"/>
                </a:solidFill>
              </a:ln>
            </c:spPr>
          </c:marker>
          <c:xVal>
            <c:numRef>
              <c:f>PURPOSE!$Y$15</c:f>
              <c:numCache>
                <c:formatCode>General</c:formatCode>
                <c:ptCount val="1"/>
                <c:pt idx="0">
                  <c:v>0</c:v>
                </c:pt>
              </c:numCache>
            </c:numRef>
          </c:xVal>
          <c:yVal>
            <c:numRef>
              <c:f>PURPOSE!$Z$15</c:f>
              <c:numCache>
                <c:formatCode>General</c:formatCode>
                <c:ptCount val="1"/>
                <c:pt idx="0">
                  <c:v>390</c:v>
                </c:pt>
              </c:numCache>
            </c:numRef>
          </c:yVal>
          <c:smooth val="0"/>
          <c:extLst>
            <c:ext xmlns:c16="http://schemas.microsoft.com/office/drawing/2014/chart" uri="{C3380CC4-5D6E-409C-BE32-E72D297353CC}">
              <c16:uniqueId val="{00000003-D1E2-496B-A286-0FEE4631C2D9}"/>
            </c:ext>
          </c:extLst>
        </c:ser>
        <c:ser>
          <c:idx val="4"/>
          <c:order val="4"/>
          <c:spPr>
            <a:ln w="15875">
              <a:solidFill>
                <a:srgbClr val="FF0000"/>
              </a:solidFill>
            </a:ln>
          </c:spPr>
          <c:marker>
            <c:symbol val="none"/>
          </c:marker>
          <c:xVal>
            <c:numRef>
              <c:f>PURPOSE!$X$69:$X$73</c:f>
              <c:numCache>
                <c:formatCode>General</c:formatCode>
                <c:ptCount val="5"/>
                <c:pt idx="0">
                  <c:v>304</c:v>
                </c:pt>
                <c:pt idx="1">
                  <c:v>315</c:v>
                </c:pt>
                <c:pt idx="2">
                  <c:v>271</c:v>
                </c:pt>
                <c:pt idx="3">
                  <c:v>260</c:v>
                </c:pt>
                <c:pt idx="4">
                  <c:v>304</c:v>
                </c:pt>
              </c:numCache>
            </c:numRef>
          </c:xVal>
          <c:yVal>
            <c:numRef>
              <c:f>PURPOSE!$Y$69:$Y$73</c:f>
              <c:numCache>
                <c:formatCode>General</c:formatCode>
                <c:ptCount val="5"/>
                <c:pt idx="0">
                  <c:v>250</c:v>
                </c:pt>
                <c:pt idx="1">
                  <c:v>327</c:v>
                </c:pt>
                <c:pt idx="2">
                  <c:v>334</c:v>
                </c:pt>
                <c:pt idx="3">
                  <c:v>257</c:v>
                </c:pt>
                <c:pt idx="4">
                  <c:v>250</c:v>
                </c:pt>
              </c:numCache>
            </c:numRef>
          </c:yVal>
          <c:smooth val="0"/>
          <c:extLst>
            <c:ext xmlns:c16="http://schemas.microsoft.com/office/drawing/2014/chart" uri="{C3380CC4-5D6E-409C-BE32-E72D297353CC}">
              <c16:uniqueId val="{00000004-D1E2-496B-A286-0FEE4631C2D9}"/>
            </c:ext>
          </c:extLst>
        </c:ser>
        <c:ser>
          <c:idx val="5"/>
          <c:order val="5"/>
          <c:spPr>
            <a:ln>
              <a:solidFill>
                <a:sysClr val="windowText" lastClr="000000"/>
              </a:solidFill>
            </a:ln>
          </c:spPr>
          <c:marker>
            <c:symbol val="circle"/>
            <c:size val="8"/>
            <c:spPr>
              <a:solidFill>
                <a:schemeClr val="tx1"/>
              </a:solidFill>
              <a:ln>
                <a:solidFill>
                  <a:sysClr val="windowText" lastClr="000000"/>
                </a:solidFill>
              </a:ln>
            </c:spPr>
          </c:marker>
          <c:xVal>
            <c:numRef>
              <c:f>PURPOSE!$X$75:$X$76</c:f>
              <c:numCache>
                <c:formatCode>General</c:formatCode>
                <c:ptCount val="2"/>
                <c:pt idx="0">
                  <c:v>0</c:v>
                </c:pt>
                <c:pt idx="1">
                  <c:v>0</c:v>
                </c:pt>
              </c:numCache>
            </c:numRef>
          </c:xVal>
          <c:yVal>
            <c:numRef>
              <c:f>PURPOSE!$Y$75:$Y$76</c:f>
              <c:numCache>
                <c:formatCode>General</c:formatCode>
                <c:ptCount val="2"/>
                <c:pt idx="0">
                  <c:v>390</c:v>
                </c:pt>
                <c:pt idx="1">
                  <c:v>42.5</c:v>
                </c:pt>
              </c:numCache>
            </c:numRef>
          </c:yVal>
          <c:smooth val="0"/>
          <c:extLst>
            <c:ext xmlns:c16="http://schemas.microsoft.com/office/drawing/2014/chart" uri="{C3380CC4-5D6E-409C-BE32-E72D297353CC}">
              <c16:uniqueId val="{00000005-D1E2-496B-A286-0FEE4631C2D9}"/>
            </c:ext>
          </c:extLst>
        </c:ser>
        <c:ser>
          <c:idx val="6"/>
          <c:order val="6"/>
          <c:spPr>
            <a:ln>
              <a:solidFill>
                <a:sysClr val="windowText" lastClr="000000"/>
              </a:solidFill>
            </a:ln>
          </c:spPr>
          <c:marker>
            <c:symbol val="circle"/>
            <c:size val="8"/>
            <c:spPr>
              <a:solidFill>
                <a:sysClr val="windowText" lastClr="000000"/>
              </a:solidFill>
              <a:ln>
                <a:solidFill>
                  <a:sysClr val="windowText" lastClr="000000"/>
                </a:solidFill>
              </a:ln>
            </c:spPr>
          </c:marker>
          <c:xVal>
            <c:numRef>
              <c:f>PURPOSE!$X$78:$X$79</c:f>
              <c:numCache>
                <c:formatCode>General</c:formatCode>
                <c:ptCount val="2"/>
                <c:pt idx="0">
                  <c:v>0</c:v>
                </c:pt>
                <c:pt idx="1">
                  <c:v>318</c:v>
                </c:pt>
              </c:numCache>
            </c:numRef>
          </c:xVal>
          <c:yVal>
            <c:numRef>
              <c:f>PURPOSE!$Y$78:$Y$79</c:f>
              <c:numCache>
                <c:formatCode>General</c:formatCode>
                <c:ptCount val="2"/>
                <c:pt idx="0">
                  <c:v>42.5</c:v>
                </c:pt>
                <c:pt idx="1">
                  <c:v>42.5</c:v>
                </c:pt>
              </c:numCache>
            </c:numRef>
          </c:yVal>
          <c:smooth val="0"/>
          <c:extLst>
            <c:ext xmlns:c16="http://schemas.microsoft.com/office/drawing/2014/chart" uri="{C3380CC4-5D6E-409C-BE32-E72D297353CC}">
              <c16:uniqueId val="{00000006-D1E2-496B-A286-0FEE4631C2D9}"/>
            </c:ext>
          </c:extLst>
        </c:ser>
        <c:ser>
          <c:idx val="7"/>
          <c:order val="7"/>
          <c:spPr>
            <a:ln>
              <a:solidFill>
                <a:sysClr val="windowText" lastClr="000000"/>
              </a:solidFill>
            </a:ln>
          </c:spPr>
          <c:marker>
            <c:symbol val="circle"/>
            <c:size val="8"/>
            <c:spPr>
              <a:solidFill>
                <a:sysClr val="windowText" lastClr="000000"/>
              </a:solidFill>
              <a:ln>
                <a:solidFill>
                  <a:sysClr val="windowText" lastClr="000000"/>
                </a:solidFill>
              </a:ln>
            </c:spPr>
          </c:marker>
          <c:xVal>
            <c:numRef>
              <c:f>PURPOSE!$X$81:$X$82</c:f>
              <c:numCache>
                <c:formatCode>General</c:formatCode>
                <c:ptCount val="2"/>
                <c:pt idx="0">
                  <c:v>318</c:v>
                </c:pt>
                <c:pt idx="1">
                  <c:v>410</c:v>
                </c:pt>
              </c:numCache>
            </c:numRef>
          </c:xVal>
          <c:yVal>
            <c:numRef>
              <c:f>PURPOSE!$Y$81:$Y$82</c:f>
              <c:numCache>
                <c:formatCode>General</c:formatCode>
                <c:ptCount val="2"/>
                <c:pt idx="0">
                  <c:v>42.5</c:v>
                </c:pt>
                <c:pt idx="1">
                  <c:v>395</c:v>
                </c:pt>
              </c:numCache>
            </c:numRef>
          </c:yVal>
          <c:smooth val="0"/>
          <c:extLst>
            <c:ext xmlns:c16="http://schemas.microsoft.com/office/drawing/2014/chart" uri="{C3380CC4-5D6E-409C-BE32-E72D297353CC}">
              <c16:uniqueId val="{00000007-D1E2-496B-A286-0FEE4631C2D9}"/>
            </c:ext>
          </c:extLst>
        </c:ser>
        <c:ser>
          <c:idx val="8"/>
          <c:order val="8"/>
          <c:spPr>
            <a:ln>
              <a:solidFill>
                <a:srgbClr val="FF0000"/>
              </a:solidFill>
            </a:ln>
          </c:spPr>
          <c:marker>
            <c:symbol val="none"/>
          </c:marker>
          <c:xVal>
            <c:numRef>
              <c:f>PURPOSE!$X$26:$X$27</c:f>
              <c:numCache>
                <c:formatCode>General</c:formatCode>
                <c:ptCount val="2"/>
                <c:pt idx="0">
                  <c:v>28</c:v>
                </c:pt>
                <c:pt idx="1">
                  <c:v>335</c:v>
                </c:pt>
              </c:numCache>
            </c:numRef>
          </c:xVal>
          <c:yVal>
            <c:numRef>
              <c:f>PURPOSE!$Y$26:$Y$27</c:f>
              <c:numCache>
                <c:formatCode>General</c:formatCode>
                <c:ptCount val="2"/>
                <c:pt idx="0">
                  <c:v>395</c:v>
                </c:pt>
                <c:pt idx="1">
                  <c:v>335</c:v>
                </c:pt>
              </c:numCache>
            </c:numRef>
          </c:yVal>
          <c:smooth val="0"/>
          <c:extLst>
            <c:ext xmlns:c16="http://schemas.microsoft.com/office/drawing/2014/chart" uri="{C3380CC4-5D6E-409C-BE32-E72D297353CC}">
              <c16:uniqueId val="{00000008-D1E2-496B-A286-0FEE4631C2D9}"/>
            </c:ext>
          </c:extLst>
        </c:ser>
        <c:ser>
          <c:idx val="9"/>
          <c:order val="9"/>
          <c:spPr>
            <a:ln>
              <a:solidFill>
                <a:schemeClr val="tx1"/>
              </a:solidFill>
            </a:ln>
          </c:spPr>
          <c:marker>
            <c:symbol val="circle"/>
            <c:size val="8"/>
            <c:spPr>
              <a:solidFill>
                <a:schemeClr val="tx1"/>
              </a:solidFill>
              <a:ln>
                <a:solidFill>
                  <a:sysClr val="windowText" lastClr="000000"/>
                </a:solidFill>
              </a:ln>
            </c:spPr>
          </c:marker>
          <c:xVal>
            <c:numRef>
              <c:f>PURPOSE!$X$84:$X$85</c:f>
              <c:numCache>
                <c:formatCode>General</c:formatCode>
                <c:ptCount val="2"/>
                <c:pt idx="0">
                  <c:v>0</c:v>
                </c:pt>
                <c:pt idx="1">
                  <c:v>318</c:v>
                </c:pt>
              </c:numCache>
            </c:numRef>
          </c:xVal>
          <c:yVal>
            <c:numRef>
              <c:f>PURPOSE!$Y$84:$Y$85</c:f>
              <c:numCache>
                <c:formatCode>General</c:formatCode>
                <c:ptCount val="2"/>
                <c:pt idx="0">
                  <c:v>390</c:v>
                </c:pt>
                <c:pt idx="1">
                  <c:v>42.5</c:v>
                </c:pt>
              </c:numCache>
            </c:numRef>
          </c:yVal>
          <c:smooth val="0"/>
          <c:extLst>
            <c:ext xmlns:c16="http://schemas.microsoft.com/office/drawing/2014/chart" uri="{C3380CC4-5D6E-409C-BE32-E72D297353CC}">
              <c16:uniqueId val="{00000009-D1E2-496B-A286-0FEE4631C2D9}"/>
            </c:ext>
          </c:extLst>
        </c:ser>
        <c:ser>
          <c:idx val="10"/>
          <c:order val="10"/>
          <c:spPr>
            <a:ln>
              <a:solidFill>
                <a:sysClr val="windowText" lastClr="000000"/>
              </a:solidFill>
            </a:ln>
          </c:spPr>
          <c:marker>
            <c:symbol val="circle"/>
            <c:size val="7"/>
            <c:spPr>
              <a:solidFill>
                <a:sysClr val="windowText" lastClr="000000"/>
              </a:solidFill>
              <a:ln>
                <a:solidFill>
                  <a:sysClr val="windowText" lastClr="000000"/>
                </a:solidFill>
              </a:ln>
            </c:spPr>
          </c:marker>
          <c:xVal>
            <c:numRef>
              <c:f>PURPOSE!$X$87:$X$88</c:f>
              <c:numCache>
                <c:formatCode>General</c:formatCode>
                <c:ptCount val="2"/>
                <c:pt idx="0">
                  <c:v>410</c:v>
                </c:pt>
                <c:pt idx="1">
                  <c:v>0</c:v>
                </c:pt>
              </c:numCache>
            </c:numRef>
          </c:xVal>
          <c:yVal>
            <c:numRef>
              <c:f>PURPOSE!$Y$87:$Y$88</c:f>
              <c:numCache>
                <c:formatCode>General</c:formatCode>
                <c:ptCount val="2"/>
                <c:pt idx="0">
                  <c:v>395</c:v>
                </c:pt>
                <c:pt idx="1">
                  <c:v>42.5</c:v>
                </c:pt>
              </c:numCache>
            </c:numRef>
          </c:yVal>
          <c:smooth val="0"/>
          <c:extLst>
            <c:ext xmlns:c16="http://schemas.microsoft.com/office/drawing/2014/chart" uri="{C3380CC4-5D6E-409C-BE32-E72D297353CC}">
              <c16:uniqueId val="{0000000A-D1E2-496B-A286-0FEE4631C2D9}"/>
            </c:ext>
          </c:extLst>
        </c:ser>
        <c:ser>
          <c:idx val="11"/>
          <c:order val="11"/>
          <c:marker>
            <c:symbol val="circle"/>
            <c:size val="7"/>
            <c:spPr>
              <a:solidFill>
                <a:schemeClr val="tx1"/>
              </a:solidFill>
              <a:ln>
                <a:noFill/>
              </a:ln>
            </c:spPr>
          </c:marker>
          <c:xVal>
            <c:numRef>
              <c:f>PURPOSE!$Y$35</c:f>
              <c:numCache>
                <c:formatCode>General</c:formatCode>
                <c:ptCount val="1"/>
                <c:pt idx="0">
                  <c:v>304.79999999999995</c:v>
                </c:pt>
              </c:numCache>
            </c:numRef>
          </c:xVal>
          <c:yVal>
            <c:numRef>
              <c:f>PURPOSE!$AA$35</c:f>
              <c:numCache>
                <c:formatCode>General</c:formatCode>
                <c:ptCount val="1"/>
                <c:pt idx="0">
                  <c:v>762</c:v>
                </c:pt>
              </c:numCache>
            </c:numRef>
          </c:yVal>
          <c:smooth val="0"/>
          <c:extLst>
            <c:ext xmlns:c16="http://schemas.microsoft.com/office/drawing/2014/chart" uri="{C3380CC4-5D6E-409C-BE32-E72D297353CC}">
              <c16:uniqueId val="{0000000B-D1E2-496B-A286-0FEE4631C2D9}"/>
            </c:ext>
          </c:extLst>
        </c:ser>
        <c:dLbls>
          <c:showLegendKey val="0"/>
          <c:showVal val="0"/>
          <c:showCatName val="0"/>
          <c:showSerName val="0"/>
          <c:showPercent val="0"/>
          <c:showBubbleSize val="0"/>
        </c:dLbls>
        <c:axId val="781695592"/>
        <c:axId val="781692848"/>
      </c:scatterChart>
      <c:valAx>
        <c:axId val="781695592"/>
        <c:scaling>
          <c:orientation val="minMax"/>
          <c:max val="500"/>
          <c:min val="-50"/>
        </c:scaling>
        <c:delete val="0"/>
        <c:axPos val="b"/>
        <c:numFmt formatCode="General" sourceLinked="1"/>
        <c:majorTickMark val="out"/>
        <c:minorTickMark val="none"/>
        <c:tickLblPos val="nextTo"/>
        <c:spPr>
          <a:ln>
            <a:solidFill>
              <a:sysClr val="windowText" lastClr="000000"/>
            </a:solidFill>
          </a:ln>
        </c:spPr>
        <c:txPr>
          <a:bodyPr/>
          <a:lstStyle/>
          <a:p>
            <a:pPr>
              <a:defRPr sz="800" baseline="0">
                <a:solidFill>
                  <a:sysClr val="windowText" lastClr="000000"/>
                </a:solidFill>
              </a:defRPr>
            </a:pPr>
            <a:endParaRPr lang="en-US"/>
          </a:p>
        </c:txPr>
        <c:crossAx val="781692848"/>
        <c:crosses val="autoZero"/>
        <c:crossBetween val="midCat"/>
        <c:majorUnit val="100"/>
        <c:minorUnit val="50"/>
      </c:valAx>
      <c:valAx>
        <c:axId val="781692848"/>
        <c:scaling>
          <c:orientation val="minMax"/>
          <c:max val="850"/>
          <c:min val="-50"/>
        </c:scaling>
        <c:delete val="0"/>
        <c:axPos val="l"/>
        <c:numFmt formatCode="General" sourceLinked="1"/>
        <c:majorTickMark val="out"/>
        <c:minorTickMark val="none"/>
        <c:tickLblPos val="nextTo"/>
        <c:spPr>
          <a:ln>
            <a:noFill/>
          </a:ln>
        </c:spPr>
        <c:txPr>
          <a:bodyPr/>
          <a:lstStyle/>
          <a:p>
            <a:pPr>
              <a:defRPr baseline="0">
                <a:solidFill>
                  <a:schemeClr val="bg1"/>
                </a:solidFill>
              </a:defRPr>
            </a:pPr>
            <a:endParaRPr lang="en-US"/>
          </a:p>
        </c:txPr>
        <c:crossAx val="781695592"/>
        <c:crosses val="autoZero"/>
        <c:crossBetween val="midCat"/>
        <c:majorUnit val="100"/>
        <c:minorUnit val="50"/>
      </c:valAx>
      <c:spPr>
        <a:solidFill>
          <a:srgbClr val="4F81BD">
            <a:alpha val="0"/>
          </a:srgbClr>
        </a:solidFill>
      </c:spPr>
    </c:plotArea>
    <c:plotVisOnly val="1"/>
    <c:dispBlanksAs val="gap"/>
    <c:showDLblsOverMax val="0"/>
  </c:chart>
  <c:spPr>
    <a:solidFill>
      <a:schemeClr val="bg1">
        <a:alpha val="11000"/>
      </a:schemeClr>
    </a:solidFill>
    <a:ln>
      <a:noFill/>
    </a:ln>
  </c:spPr>
  <c:printSettings>
    <c:headerFooter/>
    <c:pageMargins b="0.75000000000000333" l="0.70000000000000062" r="0.70000000000000062" t="0.7500000000000033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marker>
            <c:symbol val="circle"/>
            <c:size val="8"/>
            <c:spPr>
              <a:solidFill>
                <a:sysClr val="windowText" lastClr="000000"/>
              </a:solidFill>
              <a:ln>
                <a:solidFill>
                  <a:sysClr val="windowText" lastClr="000000"/>
                </a:solidFill>
              </a:ln>
            </c:spPr>
          </c:marker>
          <c:xVal>
            <c:numRef>
              <c:f>PURPOSE!$AB$69</c:f>
              <c:numCache>
                <c:formatCode>General</c:formatCode>
                <c:ptCount val="1"/>
                <c:pt idx="0">
                  <c:v>250</c:v>
                </c:pt>
              </c:numCache>
            </c:numRef>
          </c:xVal>
          <c:yVal>
            <c:numRef>
              <c:f>PURPOSE!$AC$69</c:f>
              <c:numCache>
                <c:formatCode>General</c:formatCode>
                <c:ptCount val="1"/>
                <c:pt idx="0">
                  <c:v>390</c:v>
                </c:pt>
              </c:numCache>
            </c:numRef>
          </c:yVal>
          <c:smooth val="0"/>
          <c:extLst>
            <c:ext xmlns:c16="http://schemas.microsoft.com/office/drawing/2014/chart" uri="{C3380CC4-5D6E-409C-BE32-E72D297353CC}">
              <c16:uniqueId val="{00000000-B054-4731-95AA-FC4F249E3981}"/>
            </c:ext>
          </c:extLst>
        </c:ser>
        <c:ser>
          <c:idx val="1"/>
          <c:order val="1"/>
          <c:marker>
            <c:symbol val="circle"/>
            <c:size val="8"/>
            <c:spPr>
              <a:solidFill>
                <a:schemeClr val="tx1"/>
              </a:solidFill>
              <a:ln>
                <a:solidFill>
                  <a:sysClr val="windowText" lastClr="000000"/>
                </a:solidFill>
              </a:ln>
            </c:spPr>
          </c:marker>
          <c:xVal>
            <c:numRef>
              <c:f>PURPOSE!$AB$70</c:f>
              <c:numCache>
                <c:formatCode>General</c:formatCode>
                <c:ptCount val="1"/>
                <c:pt idx="0">
                  <c:v>-250</c:v>
                </c:pt>
              </c:numCache>
            </c:numRef>
          </c:xVal>
          <c:yVal>
            <c:numRef>
              <c:f>PURPOSE!$AC$70</c:f>
              <c:numCache>
                <c:formatCode>General</c:formatCode>
                <c:ptCount val="1"/>
                <c:pt idx="0">
                  <c:v>390</c:v>
                </c:pt>
              </c:numCache>
            </c:numRef>
          </c:yVal>
          <c:smooth val="0"/>
          <c:extLst>
            <c:ext xmlns:c16="http://schemas.microsoft.com/office/drawing/2014/chart" uri="{C3380CC4-5D6E-409C-BE32-E72D297353CC}">
              <c16:uniqueId val="{00000001-B054-4731-95AA-FC4F249E3981}"/>
            </c:ext>
          </c:extLst>
        </c:ser>
        <c:ser>
          <c:idx val="2"/>
          <c:order val="2"/>
          <c:marker>
            <c:symbol val="circle"/>
            <c:size val="8"/>
            <c:spPr>
              <a:solidFill>
                <a:sysClr val="windowText" lastClr="000000"/>
              </a:solidFill>
              <a:ln>
                <a:solidFill>
                  <a:sysClr val="windowText" lastClr="000000"/>
                </a:solidFill>
              </a:ln>
            </c:spPr>
          </c:marker>
          <c:xVal>
            <c:numRef>
              <c:f>PURPOSE!$AB$72</c:f>
              <c:numCache>
                <c:formatCode>General</c:formatCode>
                <c:ptCount val="1"/>
                <c:pt idx="0">
                  <c:v>135</c:v>
                </c:pt>
              </c:numCache>
            </c:numRef>
          </c:xVal>
          <c:yVal>
            <c:numRef>
              <c:f>PURPOSE!$AC$72</c:f>
              <c:numCache>
                <c:formatCode>General</c:formatCode>
                <c:ptCount val="1"/>
                <c:pt idx="0">
                  <c:v>42.5</c:v>
                </c:pt>
              </c:numCache>
            </c:numRef>
          </c:yVal>
          <c:smooth val="0"/>
          <c:extLst>
            <c:ext xmlns:c16="http://schemas.microsoft.com/office/drawing/2014/chart" uri="{C3380CC4-5D6E-409C-BE32-E72D297353CC}">
              <c16:uniqueId val="{00000002-B054-4731-95AA-FC4F249E3981}"/>
            </c:ext>
          </c:extLst>
        </c:ser>
        <c:ser>
          <c:idx val="3"/>
          <c:order val="3"/>
          <c:marker>
            <c:symbol val="circle"/>
            <c:size val="8"/>
            <c:spPr>
              <a:solidFill>
                <a:sysClr val="windowText" lastClr="000000"/>
              </a:solidFill>
              <a:ln>
                <a:solidFill>
                  <a:sysClr val="windowText" lastClr="000000"/>
                </a:solidFill>
              </a:ln>
            </c:spPr>
          </c:marker>
          <c:xVal>
            <c:numRef>
              <c:f>PURPOSE!$AB$73</c:f>
              <c:numCache>
                <c:formatCode>General</c:formatCode>
                <c:ptCount val="1"/>
                <c:pt idx="0">
                  <c:v>-135</c:v>
                </c:pt>
              </c:numCache>
            </c:numRef>
          </c:xVal>
          <c:yVal>
            <c:numRef>
              <c:f>PURPOSE!$AC$73</c:f>
              <c:numCache>
                <c:formatCode>General</c:formatCode>
                <c:ptCount val="1"/>
                <c:pt idx="0">
                  <c:v>42.5</c:v>
                </c:pt>
              </c:numCache>
            </c:numRef>
          </c:yVal>
          <c:smooth val="0"/>
          <c:extLst>
            <c:ext xmlns:c16="http://schemas.microsoft.com/office/drawing/2014/chart" uri="{C3380CC4-5D6E-409C-BE32-E72D297353CC}">
              <c16:uniqueId val="{00000003-B054-4731-95AA-FC4F249E3981}"/>
            </c:ext>
          </c:extLst>
        </c:ser>
        <c:ser>
          <c:idx val="4"/>
          <c:order val="4"/>
          <c:spPr>
            <a:ln>
              <a:solidFill>
                <a:sysClr val="windowText" lastClr="000000"/>
              </a:solidFill>
            </a:ln>
          </c:spPr>
          <c:marker>
            <c:symbol val="none"/>
          </c:marker>
          <c:xVal>
            <c:numRef>
              <c:f>PURPOSE!$AB$75:$AB$76</c:f>
              <c:numCache>
                <c:formatCode>General</c:formatCode>
                <c:ptCount val="2"/>
                <c:pt idx="0">
                  <c:v>250</c:v>
                </c:pt>
                <c:pt idx="1">
                  <c:v>-250</c:v>
                </c:pt>
              </c:numCache>
            </c:numRef>
          </c:xVal>
          <c:yVal>
            <c:numRef>
              <c:f>PURPOSE!$AC$75:$AC$76</c:f>
              <c:numCache>
                <c:formatCode>General</c:formatCode>
                <c:ptCount val="2"/>
                <c:pt idx="0">
                  <c:v>390</c:v>
                </c:pt>
                <c:pt idx="1">
                  <c:v>390</c:v>
                </c:pt>
              </c:numCache>
            </c:numRef>
          </c:yVal>
          <c:smooth val="0"/>
          <c:extLst>
            <c:ext xmlns:c16="http://schemas.microsoft.com/office/drawing/2014/chart" uri="{C3380CC4-5D6E-409C-BE32-E72D297353CC}">
              <c16:uniqueId val="{00000004-B054-4731-95AA-FC4F249E3981}"/>
            </c:ext>
          </c:extLst>
        </c:ser>
        <c:ser>
          <c:idx val="5"/>
          <c:order val="5"/>
          <c:spPr>
            <a:ln>
              <a:solidFill>
                <a:sysClr val="windowText" lastClr="000000"/>
              </a:solidFill>
            </a:ln>
          </c:spPr>
          <c:marker>
            <c:symbol val="none"/>
          </c:marker>
          <c:xVal>
            <c:numRef>
              <c:f>PURPOSE!$AB$78:$AB$79</c:f>
              <c:numCache>
                <c:formatCode>General</c:formatCode>
                <c:ptCount val="2"/>
                <c:pt idx="0">
                  <c:v>135</c:v>
                </c:pt>
                <c:pt idx="1">
                  <c:v>-135</c:v>
                </c:pt>
              </c:numCache>
            </c:numRef>
          </c:xVal>
          <c:yVal>
            <c:numRef>
              <c:f>PURPOSE!$AC$78:$AC$79</c:f>
              <c:numCache>
                <c:formatCode>General</c:formatCode>
                <c:ptCount val="2"/>
                <c:pt idx="0">
                  <c:v>42.5</c:v>
                </c:pt>
                <c:pt idx="1">
                  <c:v>42.5</c:v>
                </c:pt>
              </c:numCache>
            </c:numRef>
          </c:yVal>
          <c:smooth val="0"/>
          <c:extLst>
            <c:ext xmlns:c16="http://schemas.microsoft.com/office/drawing/2014/chart" uri="{C3380CC4-5D6E-409C-BE32-E72D297353CC}">
              <c16:uniqueId val="{00000005-B054-4731-95AA-FC4F249E3981}"/>
            </c:ext>
          </c:extLst>
        </c:ser>
        <c:ser>
          <c:idx val="6"/>
          <c:order val="6"/>
          <c:spPr>
            <a:ln>
              <a:solidFill>
                <a:sysClr val="windowText" lastClr="000000"/>
              </a:solidFill>
            </a:ln>
          </c:spPr>
          <c:marker>
            <c:symbol val="none"/>
          </c:marker>
          <c:xVal>
            <c:numRef>
              <c:f>PURPOSE!$AB$81:$AB$82</c:f>
              <c:numCache>
                <c:formatCode>General</c:formatCode>
                <c:ptCount val="2"/>
                <c:pt idx="0">
                  <c:v>250</c:v>
                </c:pt>
                <c:pt idx="1">
                  <c:v>135</c:v>
                </c:pt>
              </c:numCache>
            </c:numRef>
          </c:xVal>
          <c:yVal>
            <c:numRef>
              <c:f>PURPOSE!$AC$81:$AC$82</c:f>
              <c:numCache>
                <c:formatCode>General</c:formatCode>
                <c:ptCount val="2"/>
                <c:pt idx="0">
                  <c:v>390</c:v>
                </c:pt>
                <c:pt idx="1">
                  <c:v>42.5</c:v>
                </c:pt>
              </c:numCache>
            </c:numRef>
          </c:yVal>
          <c:smooth val="0"/>
          <c:extLst>
            <c:ext xmlns:c16="http://schemas.microsoft.com/office/drawing/2014/chart" uri="{C3380CC4-5D6E-409C-BE32-E72D297353CC}">
              <c16:uniqueId val="{00000006-B054-4731-95AA-FC4F249E3981}"/>
            </c:ext>
          </c:extLst>
        </c:ser>
        <c:ser>
          <c:idx val="7"/>
          <c:order val="7"/>
          <c:spPr>
            <a:ln>
              <a:solidFill>
                <a:sysClr val="windowText" lastClr="000000"/>
              </a:solidFill>
            </a:ln>
          </c:spPr>
          <c:marker>
            <c:symbol val="none"/>
          </c:marker>
          <c:xVal>
            <c:numRef>
              <c:f>PURPOSE!$AB$84:$AB$85</c:f>
              <c:numCache>
                <c:formatCode>General</c:formatCode>
                <c:ptCount val="2"/>
                <c:pt idx="0">
                  <c:v>-250</c:v>
                </c:pt>
                <c:pt idx="1">
                  <c:v>-135</c:v>
                </c:pt>
              </c:numCache>
            </c:numRef>
          </c:xVal>
          <c:yVal>
            <c:numRef>
              <c:f>PURPOSE!$AC$84:$AC$85</c:f>
              <c:numCache>
                <c:formatCode>General</c:formatCode>
                <c:ptCount val="2"/>
                <c:pt idx="0">
                  <c:v>390</c:v>
                </c:pt>
                <c:pt idx="1">
                  <c:v>42.5</c:v>
                </c:pt>
              </c:numCache>
            </c:numRef>
          </c:yVal>
          <c:smooth val="0"/>
          <c:extLst>
            <c:ext xmlns:c16="http://schemas.microsoft.com/office/drawing/2014/chart" uri="{C3380CC4-5D6E-409C-BE32-E72D297353CC}">
              <c16:uniqueId val="{00000007-B054-4731-95AA-FC4F249E3981}"/>
            </c:ext>
          </c:extLst>
        </c:ser>
        <c:ser>
          <c:idx val="8"/>
          <c:order val="8"/>
          <c:dPt>
            <c:idx val="0"/>
            <c:marker>
              <c:symbol val="circle"/>
              <c:size val="12"/>
              <c:spPr>
                <a:noFill/>
                <a:ln>
                  <a:solidFill>
                    <a:srgbClr val="FF0000"/>
                  </a:solidFill>
                </a:ln>
              </c:spPr>
            </c:marker>
            <c:bubble3D val="0"/>
            <c:extLst>
              <c:ext xmlns:c16="http://schemas.microsoft.com/office/drawing/2014/chart" uri="{C3380CC4-5D6E-409C-BE32-E72D297353CC}">
                <c16:uniqueId val="{00000008-B054-4731-95AA-FC4F249E3981}"/>
              </c:ext>
            </c:extLst>
          </c:dPt>
          <c:xVal>
            <c:numRef>
              <c:f>PURPOSE!$AB$69</c:f>
              <c:numCache>
                <c:formatCode>General</c:formatCode>
                <c:ptCount val="1"/>
                <c:pt idx="0">
                  <c:v>250</c:v>
                </c:pt>
              </c:numCache>
            </c:numRef>
          </c:xVal>
          <c:yVal>
            <c:numRef>
              <c:f>PURPOSE!$AC$69</c:f>
              <c:numCache>
                <c:formatCode>General</c:formatCode>
                <c:ptCount val="1"/>
                <c:pt idx="0">
                  <c:v>390</c:v>
                </c:pt>
              </c:numCache>
            </c:numRef>
          </c:yVal>
          <c:smooth val="0"/>
          <c:extLst>
            <c:ext xmlns:c16="http://schemas.microsoft.com/office/drawing/2014/chart" uri="{C3380CC4-5D6E-409C-BE32-E72D297353CC}">
              <c16:uniqueId val="{00000009-B054-4731-95AA-FC4F249E3981}"/>
            </c:ext>
          </c:extLst>
        </c:ser>
        <c:ser>
          <c:idx val="9"/>
          <c:order val="9"/>
          <c:marker>
            <c:symbol val="circle"/>
            <c:size val="12"/>
            <c:spPr>
              <a:noFill/>
              <a:ln>
                <a:solidFill>
                  <a:srgbClr val="FF0000"/>
                </a:solidFill>
              </a:ln>
            </c:spPr>
          </c:marker>
          <c:xVal>
            <c:numRef>
              <c:f>PURPOSE!$AB$70</c:f>
              <c:numCache>
                <c:formatCode>General</c:formatCode>
                <c:ptCount val="1"/>
                <c:pt idx="0">
                  <c:v>-250</c:v>
                </c:pt>
              </c:numCache>
            </c:numRef>
          </c:xVal>
          <c:yVal>
            <c:numRef>
              <c:f>PURPOSE!$AC$70</c:f>
              <c:numCache>
                <c:formatCode>General</c:formatCode>
                <c:ptCount val="1"/>
                <c:pt idx="0">
                  <c:v>390</c:v>
                </c:pt>
              </c:numCache>
            </c:numRef>
          </c:yVal>
          <c:smooth val="0"/>
          <c:extLst>
            <c:ext xmlns:c16="http://schemas.microsoft.com/office/drawing/2014/chart" uri="{C3380CC4-5D6E-409C-BE32-E72D297353CC}">
              <c16:uniqueId val="{0000000A-B054-4731-95AA-FC4F249E3981}"/>
            </c:ext>
          </c:extLst>
        </c:ser>
        <c:ser>
          <c:idx val="10"/>
          <c:order val="10"/>
          <c:marker>
            <c:symbol val="circle"/>
            <c:size val="12"/>
            <c:spPr>
              <a:noFill/>
              <a:ln w="28575"/>
            </c:spPr>
          </c:marker>
          <c:xVal>
            <c:numRef>
              <c:f>PURPOSE!$AB$72</c:f>
              <c:numCache>
                <c:formatCode>General</c:formatCode>
                <c:ptCount val="1"/>
                <c:pt idx="0">
                  <c:v>135</c:v>
                </c:pt>
              </c:numCache>
            </c:numRef>
          </c:xVal>
          <c:yVal>
            <c:numRef>
              <c:f>PURPOSE!$AC$72</c:f>
              <c:numCache>
                <c:formatCode>General</c:formatCode>
                <c:ptCount val="1"/>
                <c:pt idx="0">
                  <c:v>42.5</c:v>
                </c:pt>
              </c:numCache>
            </c:numRef>
          </c:yVal>
          <c:smooth val="0"/>
          <c:extLst>
            <c:ext xmlns:c16="http://schemas.microsoft.com/office/drawing/2014/chart" uri="{C3380CC4-5D6E-409C-BE32-E72D297353CC}">
              <c16:uniqueId val="{0000000B-B054-4731-95AA-FC4F249E3981}"/>
            </c:ext>
          </c:extLst>
        </c:ser>
        <c:ser>
          <c:idx val="11"/>
          <c:order val="11"/>
          <c:marker>
            <c:symbol val="circle"/>
            <c:size val="12"/>
            <c:spPr>
              <a:noFill/>
              <a:ln w="28575">
                <a:solidFill>
                  <a:srgbClr val="4BACC6">
                    <a:shade val="95000"/>
                    <a:satMod val="105000"/>
                  </a:srgbClr>
                </a:solidFill>
              </a:ln>
            </c:spPr>
          </c:marker>
          <c:xVal>
            <c:numRef>
              <c:f>PURPOSE!$AB$73</c:f>
              <c:numCache>
                <c:formatCode>General</c:formatCode>
                <c:ptCount val="1"/>
                <c:pt idx="0">
                  <c:v>-135</c:v>
                </c:pt>
              </c:numCache>
            </c:numRef>
          </c:xVal>
          <c:yVal>
            <c:numRef>
              <c:f>PURPOSE!$AC$73</c:f>
              <c:numCache>
                <c:formatCode>General</c:formatCode>
                <c:ptCount val="1"/>
                <c:pt idx="0">
                  <c:v>42.5</c:v>
                </c:pt>
              </c:numCache>
            </c:numRef>
          </c:yVal>
          <c:smooth val="0"/>
          <c:extLst>
            <c:ext xmlns:c16="http://schemas.microsoft.com/office/drawing/2014/chart" uri="{C3380CC4-5D6E-409C-BE32-E72D297353CC}">
              <c16:uniqueId val="{0000000C-B054-4731-95AA-FC4F249E3981}"/>
            </c:ext>
          </c:extLst>
        </c:ser>
        <c:ser>
          <c:idx val="12"/>
          <c:order val="12"/>
          <c:spPr>
            <a:ln>
              <a:solidFill>
                <a:sysClr val="windowText" lastClr="000000"/>
              </a:solidFill>
            </a:ln>
          </c:spPr>
          <c:marker>
            <c:symbol val="none"/>
          </c:marker>
          <c:xVal>
            <c:numRef>
              <c:f>PURPOSE!$AB$87:$AB$88</c:f>
              <c:numCache>
                <c:formatCode>General</c:formatCode>
                <c:ptCount val="2"/>
                <c:pt idx="0">
                  <c:v>250</c:v>
                </c:pt>
                <c:pt idx="1">
                  <c:v>-135</c:v>
                </c:pt>
              </c:numCache>
            </c:numRef>
          </c:xVal>
          <c:yVal>
            <c:numRef>
              <c:f>PURPOSE!$AC$87:$AC$88</c:f>
              <c:numCache>
                <c:formatCode>General</c:formatCode>
                <c:ptCount val="2"/>
                <c:pt idx="0">
                  <c:v>390</c:v>
                </c:pt>
                <c:pt idx="1">
                  <c:v>42.5</c:v>
                </c:pt>
              </c:numCache>
            </c:numRef>
          </c:yVal>
          <c:smooth val="0"/>
          <c:extLst>
            <c:ext xmlns:c16="http://schemas.microsoft.com/office/drawing/2014/chart" uri="{C3380CC4-5D6E-409C-BE32-E72D297353CC}">
              <c16:uniqueId val="{0000000D-B054-4731-95AA-FC4F249E3981}"/>
            </c:ext>
          </c:extLst>
        </c:ser>
        <c:ser>
          <c:idx val="13"/>
          <c:order val="13"/>
          <c:spPr>
            <a:ln>
              <a:solidFill>
                <a:sysClr val="windowText" lastClr="000000"/>
              </a:solidFill>
            </a:ln>
          </c:spPr>
          <c:marker>
            <c:symbol val="none"/>
          </c:marker>
          <c:xVal>
            <c:numRef>
              <c:f>PURPOSE!$AB$90:$AB$91</c:f>
              <c:numCache>
                <c:formatCode>General</c:formatCode>
                <c:ptCount val="2"/>
                <c:pt idx="0">
                  <c:v>-250</c:v>
                </c:pt>
                <c:pt idx="1">
                  <c:v>135</c:v>
                </c:pt>
              </c:numCache>
            </c:numRef>
          </c:xVal>
          <c:yVal>
            <c:numRef>
              <c:f>PURPOSE!$AC$90:$AC$91</c:f>
              <c:numCache>
                <c:formatCode>General</c:formatCode>
                <c:ptCount val="2"/>
                <c:pt idx="0">
                  <c:v>390</c:v>
                </c:pt>
                <c:pt idx="1">
                  <c:v>42.5</c:v>
                </c:pt>
              </c:numCache>
            </c:numRef>
          </c:yVal>
          <c:smooth val="0"/>
          <c:extLst>
            <c:ext xmlns:c16="http://schemas.microsoft.com/office/drawing/2014/chart" uri="{C3380CC4-5D6E-409C-BE32-E72D297353CC}">
              <c16:uniqueId val="{0000000E-B054-4731-95AA-FC4F249E3981}"/>
            </c:ext>
          </c:extLst>
        </c:ser>
        <c:ser>
          <c:idx val="14"/>
          <c:order val="14"/>
          <c:marker>
            <c:symbol val="circle"/>
            <c:size val="7"/>
            <c:spPr>
              <a:solidFill>
                <a:sysClr val="windowText" lastClr="000000"/>
              </a:solidFill>
              <a:ln>
                <a:solidFill>
                  <a:sysClr val="windowText" lastClr="000000"/>
                </a:solidFill>
              </a:ln>
            </c:spPr>
          </c:marker>
          <c:xVal>
            <c:numRef>
              <c:f>PURPOSE!$Z$35</c:f>
              <c:numCache>
                <c:formatCode>General</c:formatCode>
                <c:ptCount val="1"/>
                <c:pt idx="0">
                  <c:v>0</c:v>
                </c:pt>
              </c:numCache>
            </c:numRef>
          </c:xVal>
          <c:yVal>
            <c:numRef>
              <c:f>PURPOSE!$AA$35</c:f>
              <c:numCache>
                <c:formatCode>General</c:formatCode>
                <c:ptCount val="1"/>
                <c:pt idx="0">
                  <c:v>762</c:v>
                </c:pt>
              </c:numCache>
            </c:numRef>
          </c:yVal>
          <c:smooth val="0"/>
          <c:extLst>
            <c:ext xmlns:c16="http://schemas.microsoft.com/office/drawing/2014/chart" uri="{C3380CC4-5D6E-409C-BE32-E72D297353CC}">
              <c16:uniqueId val="{0000000F-B054-4731-95AA-FC4F249E3981}"/>
            </c:ext>
          </c:extLst>
        </c:ser>
        <c:dLbls>
          <c:showLegendKey val="0"/>
          <c:showVal val="0"/>
          <c:showCatName val="0"/>
          <c:showSerName val="0"/>
          <c:showPercent val="0"/>
          <c:showBubbleSize val="0"/>
        </c:dLbls>
        <c:axId val="781692064"/>
        <c:axId val="781690496"/>
      </c:scatterChart>
      <c:valAx>
        <c:axId val="781692064"/>
        <c:scaling>
          <c:orientation val="minMax"/>
          <c:max val="300"/>
          <c:min val="-300"/>
        </c:scaling>
        <c:delete val="0"/>
        <c:axPos val="b"/>
        <c:numFmt formatCode="General" sourceLinked="1"/>
        <c:majorTickMark val="out"/>
        <c:minorTickMark val="none"/>
        <c:tickLblPos val="nextTo"/>
        <c:crossAx val="781690496"/>
        <c:crosses val="autoZero"/>
        <c:crossBetween val="midCat"/>
      </c:valAx>
      <c:valAx>
        <c:axId val="781690496"/>
        <c:scaling>
          <c:orientation val="minMax"/>
          <c:max val="850"/>
          <c:min val="-50"/>
        </c:scaling>
        <c:delete val="1"/>
        <c:axPos val="l"/>
        <c:numFmt formatCode="General" sourceLinked="1"/>
        <c:majorTickMark val="out"/>
        <c:minorTickMark val="none"/>
        <c:tickLblPos val="none"/>
        <c:crossAx val="781692064"/>
        <c:crosses val="autoZero"/>
        <c:crossBetween val="midCat"/>
      </c:valAx>
      <c:spPr>
        <a:noFill/>
        <a:ln>
          <a:noFill/>
        </a:ln>
      </c:spPr>
    </c:plotArea>
    <c:plotVisOnly val="1"/>
    <c:dispBlanksAs val="gap"/>
    <c:showDLblsOverMax val="0"/>
  </c:chart>
  <c:spPr>
    <a:noFill/>
    <a:ln>
      <a:noFill/>
    </a:ln>
  </c:spPr>
  <c:printSettings>
    <c:headerFooter/>
    <c:pageMargins b="0.75000000000000211" l="0.70000000000000062" r="0.70000000000000062" t="0.7500000000000021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a:solidFill>
                <a:sysClr val="windowText" lastClr="000000"/>
              </a:solidFill>
            </a:ln>
          </c:spPr>
          <c:marker>
            <c:symbol val="circle"/>
            <c:size val="7"/>
            <c:spPr>
              <a:solidFill>
                <a:sysClr val="windowText" lastClr="000000"/>
              </a:solidFill>
              <a:ln>
                <a:solidFill>
                  <a:sysClr val="windowText" lastClr="000000"/>
                </a:solidFill>
              </a:ln>
            </c:spPr>
          </c:marker>
          <c:xVal>
            <c:numRef>
              <c:f>PURPOSE!$AE$69:$AE$70</c:f>
              <c:numCache>
                <c:formatCode>General</c:formatCode>
                <c:ptCount val="2"/>
                <c:pt idx="0">
                  <c:v>0</c:v>
                </c:pt>
                <c:pt idx="1">
                  <c:v>0</c:v>
                </c:pt>
              </c:numCache>
            </c:numRef>
          </c:xVal>
          <c:yVal>
            <c:numRef>
              <c:f>PURPOSE!$AF$69:$AF$70</c:f>
              <c:numCache>
                <c:formatCode>General</c:formatCode>
                <c:ptCount val="2"/>
                <c:pt idx="0">
                  <c:v>-135</c:v>
                </c:pt>
                <c:pt idx="1">
                  <c:v>135</c:v>
                </c:pt>
              </c:numCache>
            </c:numRef>
          </c:yVal>
          <c:smooth val="0"/>
          <c:extLst>
            <c:ext xmlns:c16="http://schemas.microsoft.com/office/drawing/2014/chart" uri="{C3380CC4-5D6E-409C-BE32-E72D297353CC}">
              <c16:uniqueId val="{00000000-F5AA-48F5-8198-C83F276E88DB}"/>
            </c:ext>
          </c:extLst>
        </c:ser>
        <c:ser>
          <c:idx val="1"/>
          <c:order val="1"/>
          <c:spPr>
            <a:ln>
              <a:solidFill>
                <a:sysClr val="windowText" lastClr="000000"/>
              </a:solidFill>
            </a:ln>
          </c:spPr>
          <c:marker>
            <c:symbol val="circle"/>
            <c:size val="7"/>
            <c:spPr>
              <a:solidFill>
                <a:sysClr val="windowText" lastClr="000000"/>
              </a:solidFill>
              <a:ln>
                <a:solidFill>
                  <a:sysClr val="windowText" lastClr="000000"/>
                </a:solidFill>
              </a:ln>
            </c:spPr>
          </c:marker>
          <c:xVal>
            <c:numRef>
              <c:f>PURPOSE!$AE$72:$AE$73</c:f>
              <c:numCache>
                <c:formatCode>General</c:formatCode>
                <c:ptCount val="2"/>
                <c:pt idx="0">
                  <c:v>318</c:v>
                </c:pt>
                <c:pt idx="1">
                  <c:v>318</c:v>
                </c:pt>
              </c:numCache>
            </c:numRef>
          </c:xVal>
          <c:yVal>
            <c:numRef>
              <c:f>PURPOSE!$AF$72:$AF$73</c:f>
              <c:numCache>
                <c:formatCode>General</c:formatCode>
                <c:ptCount val="2"/>
                <c:pt idx="0">
                  <c:v>-135</c:v>
                </c:pt>
                <c:pt idx="1">
                  <c:v>135</c:v>
                </c:pt>
              </c:numCache>
            </c:numRef>
          </c:yVal>
          <c:smooth val="0"/>
          <c:extLst>
            <c:ext xmlns:c16="http://schemas.microsoft.com/office/drawing/2014/chart" uri="{C3380CC4-5D6E-409C-BE32-E72D297353CC}">
              <c16:uniqueId val="{00000001-F5AA-48F5-8198-C83F276E88DB}"/>
            </c:ext>
          </c:extLst>
        </c:ser>
        <c:ser>
          <c:idx val="2"/>
          <c:order val="2"/>
          <c:spPr>
            <a:ln>
              <a:solidFill>
                <a:sysClr val="windowText" lastClr="000000"/>
              </a:solidFill>
            </a:ln>
          </c:spPr>
          <c:marker>
            <c:symbol val="none"/>
          </c:marker>
          <c:xVal>
            <c:numRef>
              <c:f>PURPOSE!$AE$75:$AE$76</c:f>
              <c:numCache>
                <c:formatCode>General</c:formatCode>
                <c:ptCount val="2"/>
                <c:pt idx="0">
                  <c:v>0</c:v>
                </c:pt>
                <c:pt idx="1">
                  <c:v>318</c:v>
                </c:pt>
              </c:numCache>
            </c:numRef>
          </c:xVal>
          <c:yVal>
            <c:numRef>
              <c:f>PURPOSE!$AF$75:$AF$76</c:f>
              <c:numCache>
                <c:formatCode>General</c:formatCode>
                <c:ptCount val="2"/>
                <c:pt idx="0">
                  <c:v>-135</c:v>
                </c:pt>
                <c:pt idx="1">
                  <c:v>-135</c:v>
                </c:pt>
              </c:numCache>
            </c:numRef>
          </c:yVal>
          <c:smooth val="0"/>
          <c:extLst>
            <c:ext xmlns:c16="http://schemas.microsoft.com/office/drawing/2014/chart" uri="{C3380CC4-5D6E-409C-BE32-E72D297353CC}">
              <c16:uniqueId val="{00000002-F5AA-48F5-8198-C83F276E88DB}"/>
            </c:ext>
          </c:extLst>
        </c:ser>
        <c:ser>
          <c:idx val="3"/>
          <c:order val="3"/>
          <c:spPr>
            <a:ln>
              <a:solidFill>
                <a:sysClr val="windowText" lastClr="000000"/>
              </a:solidFill>
            </a:ln>
          </c:spPr>
          <c:marker>
            <c:symbol val="none"/>
          </c:marker>
          <c:xVal>
            <c:numRef>
              <c:f>PURPOSE!$AE$78:$AE$79</c:f>
              <c:numCache>
                <c:formatCode>General</c:formatCode>
                <c:ptCount val="2"/>
                <c:pt idx="0">
                  <c:v>0</c:v>
                </c:pt>
                <c:pt idx="1">
                  <c:v>318</c:v>
                </c:pt>
              </c:numCache>
            </c:numRef>
          </c:xVal>
          <c:yVal>
            <c:numRef>
              <c:f>PURPOSE!$AF$78:$AF$79</c:f>
              <c:numCache>
                <c:formatCode>General</c:formatCode>
                <c:ptCount val="2"/>
                <c:pt idx="0">
                  <c:v>135</c:v>
                </c:pt>
                <c:pt idx="1">
                  <c:v>135</c:v>
                </c:pt>
              </c:numCache>
            </c:numRef>
          </c:yVal>
          <c:smooth val="0"/>
          <c:extLst>
            <c:ext xmlns:c16="http://schemas.microsoft.com/office/drawing/2014/chart" uri="{C3380CC4-5D6E-409C-BE32-E72D297353CC}">
              <c16:uniqueId val="{00000003-F5AA-48F5-8198-C83F276E88DB}"/>
            </c:ext>
          </c:extLst>
        </c:ser>
        <c:ser>
          <c:idx val="4"/>
          <c:order val="4"/>
          <c:marker>
            <c:symbol val="circle"/>
            <c:size val="11"/>
            <c:spPr>
              <a:noFill/>
              <a:ln w="25400">
                <a:solidFill>
                  <a:srgbClr val="1F497D">
                    <a:lumMod val="60000"/>
                    <a:lumOff val="40000"/>
                  </a:srgbClr>
                </a:solidFill>
              </a:ln>
            </c:spPr>
          </c:marker>
          <c:xVal>
            <c:numRef>
              <c:f>PURPOSE!$AE$69</c:f>
              <c:numCache>
                <c:formatCode>General</c:formatCode>
                <c:ptCount val="1"/>
                <c:pt idx="0">
                  <c:v>0</c:v>
                </c:pt>
              </c:numCache>
            </c:numRef>
          </c:xVal>
          <c:yVal>
            <c:numRef>
              <c:f>PURPOSE!$AF$69</c:f>
              <c:numCache>
                <c:formatCode>General</c:formatCode>
                <c:ptCount val="1"/>
                <c:pt idx="0">
                  <c:v>-135</c:v>
                </c:pt>
              </c:numCache>
            </c:numRef>
          </c:yVal>
          <c:smooth val="0"/>
          <c:extLst>
            <c:ext xmlns:c16="http://schemas.microsoft.com/office/drawing/2014/chart" uri="{C3380CC4-5D6E-409C-BE32-E72D297353CC}">
              <c16:uniqueId val="{00000004-F5AA-48F5-8198-C83F276E88DB}"/>
            </c:ext>
          </c:extLst>
        </c:ser>
        <c:ser>
          <c:idx val="5"/>
          <c:order val="5"/>
          <c:marker>
            <c:symbol val="circle"/>
            <c:size val="11"/>
            <c:spPr>
              <a:noFill/>
              <a:ln w="25400">
                <a:solidFill>
                  <a:schemeClr val="tx2">
                    <a:lumMod val="60000"/>
                    <a:lumOff val="40000"/>
                  </a:schemeClr>
                </a:solidFill>
              </a:ln>
            </c:spPr>
          </c:marker>
          <c:xVal>
            <c:numRef>
              <c:f>PURPOSE!$AE$70</c:f>
              <c:numCache>
                <c:formatCode>General</c:formatCode>
                <c:ptCount val="1"/>
                <c:pt idx="0">
                  <c:v>0</c:v>
                </c:pt>
              </c:numCache>
            </c:numRef>
          </c:xVal>
          <c:yVal>
            <c:numRef>
              <c:f>PURPOSE!$AF$70</c:f>
              <c:numCache>
                <c:formatCode>General</c:formatCode>
                <c:ptCount val="1"/>
                <c:pt idx="0">
                  <c:v>135</c:v>
                </c:pt>
              </c:numCache>
            </c:numRef>
          </c:yVal>
          <c:smooth val="0"/>
          <c:extLst>
            <c:ext xmlns:c16="http://schemas.microsoft.com/office/drawing/2014/chart" uri="{C3380CC4-5D6E-409C-BE32-E72D297353CC}">
              <c16:uniqueId val="{00000005-F5AA-48F5-8198-C83F276E88DB}"/>
            </c:ext>
          </c:extLst>
        </c:ser>
        <c:ser>
          <c:idx val="6"/>
          <c:order val="6"/>
          <c:marker>
            <c:symbol val="circle"/>
            <c:size val="11"/>
            <c:spPr>
              <a:noFill/>
              <a:ln w="25400">
                <a:solidFill>
                  <a:srgbClr val="1F497D">
                    <a:lumMod val="60000"/>
                    <a:lumOff val="40000"/>
                  </a:srgbClr>
                </a:solidFill>
              </a:ln>
            </c:spPr>
          </c:marker>
          <c:xVal>
            <c:numRef>
              <c:f>PURPOSE!$AE$72</c:f>
              <c:numCache>
                <c:formatCode>General</c:formatCode>
                <c:ptCount val="1"/>
                <c:pt idx="0">
                  <c:v>318</c:v>
                </c:pt>
              </c:numCache>
            </c:numRef>
          </c:xVal>
          <c:yVal>
            <c:numRef>
              <c:f>PURPOSE!$AF$72</c:f>
              <c:numCache>
                <c:formatCode>General</c:formatCode>
                <c:ptCount val="1"/>
                <c:pt idx="0">
                  <c:v>-135</c:v>
                </c:pt>
              </c:numCache>
            </c:numRef>
          </c:yVal>
          <c:smooth val="0"/>
          <c:extLst>
            <c:ext xmlns:c16="http://schemas.microsoft.com/office/drawing/2014/chart" uri="{C3380CC4-5D6E-409C-BE32-E72D297353CC}">
              <c16:uniqueId val="{00000006-F5AA-48F5-8198-C83F276E88DB}"/>
            </c:ext>
          </c:extLst>
        </c:ser>
        <c:ser>
          <c:idx val="7"/>
          <c:order val="7"/>
          <c:marker>
            <c:symbol val="circle"/>
            <c:size val="11"/>
            <c:spPr>
              <a:noFill/>
              <a:ln w="25400">
                <a:solidFill>
                  <a:srgbClr val="1F497D">
                    <a:lumMod val="60000"/>
                    <a:lumOff val="40000"/>
                  </a:srgbClr>
                </a:solidFill>
              </a:ln>
            </c:spPr>
          </c:marker>
          <c:xVal>
            <c:numRef>
              <c:f>PURPOSE!$AE$73</c:f>
              <c:numCache>
                <c:formatCode>General</c:formatCode>
                <c:ptCount val="1"/>
                <c:pt idx="0">
                  <c:v>318</c:v>
                </c:pt>
              </c:numCache>
            </c:numRef>
          </c:xVal>
          <c:yVal>
            <c:numRef>
              <c:f>PURPOSE!$AF$73</c:f>
              <c:numCache>
                <c:formatCode>General</c:formatCode>
                <c:ptCount val="1"/>
                <c:pt idx="0">
                  <c:v>135</c:v>
                </c:pt>
              </c:numCache>
            </c:numRef>
          </c:yVal>
          <c:smooth val="0"/>
          <c:extLst>
            <c:ext xmlns:c16="http://schemas.microsoft.com/office/drawing/2014/chart" uri="{C3380CC4-5D6E-409C-BE32-E72D297353CC}">
              <c16:uniqueId val="{00000007-F5AA-48F5-8198-C83F276E88DB}"/>
            </c:ext>
          </c:extLst>
        </c:ser>
        <c:ser>
          <c:idx val="8"/>
          <c:order val="8"/>
          <c:spPr>
            <a:ln>
              <a:solidFill>
                <a:schemeClr val="tx1"/>
              </a:solidFill>
            </a:ln>
          </c:spPr>
          <c:marker>
            <c:symbol val="circle"/>
            <c:size val="7"/>
            <c:spPr>
              <a:solidFill>
                <a:sysClr val="windowText" lastClr="000000"/>
              </a:solidFill>
              <a:ln>
                <a:solidFill>
                  <a:sysClr val="windowText" lastClr="000000"/>
                </a:solidFill>
              </a:ln>
            </c:spPr>
          </c:marker>
          <c:xVal>
            <c:numRef>
              <c:f>PURPOSE!$AE$81:$AE$82</c:f>
              <c:numCache>
                <c:formatCode>General</c:formatCode>
                <c:ptCount val="2"/>
                <c:pt idx="0">
                  <c:v>0</c:v>
                </c:pt>
                <c:pt idx="1">
                  <c:v>0</c:v>
                </c:pt>
              </c:numCache>
            </c:numRef>
          </c:xVal>
          <c:yVal>
            <c:numRef>
              <c:f>PURPOSE!$AF$81:$AF$82</c:f>
              <c:numCache>
                <c:formatCode>General</c:formatCode>
                <c:ptCount val="2"/>
                <c:pt idx="0">
                  <c:v>250</c:v>
                </c:pt>
                <c:pt idx="1">
                  <c:v>-250</c:v>
                </c:pt>
              </c:numCache>
            </c:numRef>
          </c:yVal>
          <c:smooth val="0"/>
          <c:extLst>
            <c:ext xmlns:c16="http://schemas.microsoft.com/office/drawing/2014/chart" uri="{C3380CC4-5D6E-409C-BE32-E72D297353CC}">
              <c16:uniqueId val="{00000008-F5AA-48F5-8198-C83F276E88DB}"/>
            </c:ext>
          </c:extLst>
        </c:ser>
        <c:ser>
          <c:idx val="9"/>
          <c:order val="9"/>
          <c:spPr>
            <a:ln>
              <a:solidFill>
                <a:sysClr val="windowText" lastClr="000000"/>
              </a:solidFill>
            </a:ln>
          </c:spPr>
          <c:marker>
            <c:symbol val="circle"/>
            <c:size val="7"/>
            <c:spPr>
              <a:solidFill>
                <a:sysClr val="windowText" lastClr="000000"/>
              </a:solidFill>
              <a:ln>
                <a:solidFill>
                  <a:sysClr val="windowText" lastClr="000000"/>
                </a:solidFill>
              </a:ln>
            </c:spPr>
          </c:marker>
          <c:xVal>
            <c:numRef>
              <c:f>PURPOSE!$AE$84:$AE$85</c:f>
              <c:numCache>
                <c:formatCode>General</c:formatCode>
                <c:ptCount val="2"/>
                <c:pt idx="0">
                  <c:v>410</c:v>
                </c:pt>
                <c:pt idx="1">
                  <c:v>410</c:v>
                </c:pt>
              </c:numCache>
            </c:numRef>
          </c:xVal>
          <c:yVal>
            <c:numRef>
              <c:f>PURPOSE!$AF$84:$AF$85</c:f>
              <c:numCache>
                <c:formatCode>General</c:formatCode>
                <c:ptCount val="2"/>
                <c:pt idx="0">
                  <c:v>-250</c:v>
                </c:pt>
                <c:pt idx="1">
                  <c:v>250</c:v>
                </c:pt>
              </c:numCache>
            </c:numRef>
          </c:yVal>
          <c:smooth val="0"/>
          <c:extLst>
            <c:ext xmlns:c16="http://schemas.microsoft.com/office/drawing/2014/chart" uri="{C3380CC4-5D6E-409C-BE32-E72D297353CC}">
              <c16:uniqueId val="{00000009-F5AA-48F5-8198-C83F276E88DB}"/>
            </c:ext>
          </c:extLst>
        </c:ser>
        <c:ser>
          <c:idx val="10"/>
          <c:order val="10"/>
          <c:spPr>
            <a:ln>
              <a:noFill/>
            </a:ln>
          </c:spPr>
          <c:marker>
            <c:symbol val="circle"/>
            <c:size val="12"/>
            <c:spPr>
              <a:noFill/>
              <a:ln>
                <a:solidFill>
                  <a:srgbClr val="FF0000"/>
                </a:solidFill>
              </a:ln>
            </c:spPr>
          </c:marker>
          <c:xVal>
            <c:numRef>
              <c:f>PURPOSE!$AE$81</c:f>
              <c:numCache>
                <c:formatCode>General</c:formatCode>
                <c:ptCount val="1"/>
                <c:pt idx="0">
                  <c:v>0</c:v>
                </c:pt>
              </c:numCache>
            </c:numRef>
          </c:xVal>
          <c:yVal>
            <c:numRef>
              <c:f>PURPOSE!$AF$81</c:f>
              <c:numCache>
                <c:formatCode>General</c:formatCode>
                <c:ptCount val="1"/>
                <c:pt idx="0">
                  <c:v>250</c:v>
                </c:pt>
              </c:numCache>
            </c:numRef>
          </c:yVal>
          <c:smooth val="0"/>
          <c:extLst>
            <c:ext xmlns:c16="http://schemas.microsoft.com/office/drawing/2014/chart" uri="{C3380CC4-5D6E-409C-BE32-E72D297353CC}">
              <c16:uniqueId val="{0000000A-F5AA-48F5-8198-C83F276E88DB}"/>
            </c:ext>
          </c:extLst>
        </c:ser>
        <c:ser>
          <c:idx val="11"/>
          <c:order val="11"/>
          <c:marker>
            <c:symbol val="circle"/>
            <c:size val="11"/>
            <c:spPr>
              <a:noFill/>
              <a:ln>
                <a:solidFill>
                  <a:srgbClr val="FF0000"/>
                </a:solidFill>
              </a:ln>
            </c:spPr>
          </c:marker>
          <c:xVal>
            <c:numRef>
              <c:f>PURPOSE!$AE$82</c:f>
              <c:numCache>
                <c:formatCode>General</c:formatCode>
                <c:ptCount val="1"/>
                <c:pt idx="0">
                  <c:v>0</c:v>
                </c:pt>
              </c:numCache>
            </c:numRef>
          </c:xVal>
          <c:yVal>
            <c:numRef>
              <c:f>PURPOSE!$AF$82</c:f>
              <c:numCache>
                <c:formatCode>General</c:formatCode>
                <c:ptCount val="1"/>
                <c:pt idx="0">
                  <c:v>-250</c:v>
                </c:pt>
              </c:numCache>
            </c:numRef>
          </c:yVal>
          <c:smooth val="0"/>
          <c:extLst>
            <c:ext xmlns:c16="http://schemas.microsoft.com/office/drawing/2014/chart" uri="{C3380CC4-5D6E-409C-BE32-E72D297353CC}">
              <c16:uniqueId val="{0000000B-F5AA-48F5-8198-C83F276E88DB}"/>
            </c:ext>
          </c:extLst>
        </c:ser>
        <c:ser>
          <c:idx val="12"/>
          <c:order val="12"/>
          <c:marker>
            <c:symbol val="circle"/>
            <c:size val="11"/>
            <c:spPr>
              <a:noFill/>
              <a:ln>
                <a:solidFill>
                  <a:srgbClr val="FF0000"/>
                </a:solidFill>
              </a:ln>
            </c:spPr>
          </c:marker>
          <c:xVal>
            <c:numRef>
              <c:f>PURPOSE!$AE$84</c:f>
              <c:numCache>
                <c:formatCode>General</c:formatCode>
                <c:ptCount val="1"/>
                <c:pt idx="0">
                  <c:v>410</c:v>
                </c:pt>
              </c:numCache>
            </c:numRef>
          </c:xVal>
          <c:yVal>
            <c:numRef>
              <c:f>PURPOSE!$AF$84</c:f>
              <c:numCache>
                <c:formatCode>General</c:formatCode>
                <c:ptCount val="1"/>
                <c:pt idx="0">
                  <c:v>-250</c:v>
                </c:pt>
              </c:numCache>
            </c:numRef>
          </c:yVal>
          <c:smooth val="0"/>
          <c:extLst>
            <c:ext xmlns:c16="http://schemas.microsoft.com/office/drawing/2014/chart" uri="{C3380CC4-5D6E-409C-BE32-E72D297353CC}">
              <c16:uniqueId val="{0000000C-F5AA-48F5-8198-C83F276E88DB}"/>
            </c:ext>
          </c:extLst>
        </c:ser>
        <c:ser>
          <c:idx val="13"/>
          <c:order val="13"/>
          <c:marker>
            <c:symbol val="circle"/>
            <c:size val="11"/>
            <c:spPr>
              <a:noFill/>
              <a:ln>
                <a:solidFill>
                  <a:srgbClr val="FF0000"/>
                </a:solidFill>
              </a:ln>
            </c:spPr>
          </c:marker>
          <c:xVal>
            <c:numRef>
              <c:f>PURPOSE!$AE$85</c:f>
              <c:numCache>
                <c:formatCode>General</c:formatCode>
                <c:ptCount val="1"/>
                <c:pt idx="0">
                  <c:v>410</c:v>
                </c:pt>
              </c:numCache>
            </c:numRef>
          </c:xVal>
          <c:yVal>
            <c:numRef>
              <c:f>PURPOSE!$AF$85</c:f>
              <c:numCache>
                <c:formatCode>General</c:formatCode>
                <c:ptCount val="1"/>
                <c:pt idx="0">
                  <c:v>250</c:v>
                </c:pt>
              </c:numCache>
            </c:numRef>
          </c:yVal>
          <c:smooth val="0"/>
          <c:extLst>
            <c:ext xmlns:c16="http://schemas.microsoft.com/office/drawing/2014/chart" uri="{C3380CC4-5D6E-409C-BE32-E72D297353CC}">
              <c16:uniqueId val="{0000000D-F5AA-48F5-8198-C83F276E88DB}"/>
            </c:ext>
          </c:extLst>
        </c:ser>
        <c:ser>
          <c:idx val="14"/>
          <c:order val="14"/>
          <c:spPr>
            <a:ln>
              <a:solidFill>
                <a:schemeClr val="tx1"/>
              </a:solidFill>
            </a:ln>
          </c:spPr>
          <c:marker>
            <c:symbol val="none"/>
          </c:marker>
          <c:xVal>
            <c:numRef>
              <c:f>PURPOSE!$AE$87:$AE$88</c:f>
              <c:numCache>
                <c:formatCode>General</c:formatCode>
                <c:ptCount val="2"/>
                <c:pt idx="0">
                  <c:v>0</c:v>
                </c:pt>
                <c:pt idx="1">
                  <c:v>0</c:v>
                </c:pt>
              </c:numCache>
            </c:numRef>
          </c:xVal>
          <c:yVal>
            <c:numRef>
              <c:f>PURPOSE!$AF$87:$AF$88</c:f>
              <c:numCache>
                <c:formatCode>General</c:formatCode>
                <c:ptCount val="2"/>
                <c:pt idx="0">
                  <c:v>250</c:v>
                </c:pt>
                <c:pt idx="1">
                  <c:v>-135</c:v>
                </c:pt>
              </c:numCache>
            </c:numRef>
          </c:yVal>
          <c:smooth val="0"/>
          <c:extLst>
            <c:ext xmlns:c16="http://schemas.microsoft.com/office/drawing/2014/chart" uri="{C3380CC4-5D6E-409C-BE32-E72D297353CC}">
              <c16:uniqueId val="{0000000E-F5AA-48F5-8198-C83F276E88DB}"/>
            </c:ext>
          </c:extLst>
        </c:ser>
        <c:ser>
          <c:idx val="15"/>
          <c:order val="15"/>
          <c:spPr>
            <a:ln>
              <a:solidFill>
                <a:sysClr val="windowText" lastClr="000000"/>
              </a:solidFill>
            </a:ln>
          </c:spPr>
          <c:marker>
            <c:symbol val="none"/>
          </c:marker>
          <c:xVal>
            <c:numRef>
              <c:f>PURPOSE!$AE$90:$AE$91</c:f>
              <c:numCache>
                <c:formatCode>General</c:formatCode>
                <c:ptCount val="2"/>
                <c:pt idx="0">
                  <c:v>0</c:v>
                </c:pt>
                <c:pt idx="1">
                  <c:v>0</c:v>
                </c:pt>
              </c:numCache>
            </c:numRef>
          </c:xVal>
          <c:yVal>
            <c:numRef>
              <c:f>PURPOSE!$AF$90:$AF$91</c:f>
              <c:numCache>
                <c:formatCode>General</c:formatCode>
                <c:ptCount val="2"/>
                <c:pt idx="0">
                  <c:v>-250</c:v>
                </c:pt>
                <c:pt idx="1">
                  <c:v>135</c:v>
                </c:pt>
              </c:numCache>
            </c:numRef>
          </c:yVal>
          <c:smooth val="0"/>
          <c:extLst>
            <c:ext xmlns:c16="http://schemas.microsoft.com/office/drawing/2014/chart" uri="{C3380CC4-5D6E-409C-BE32-E72D297353CC}">
              <c16:uniqueId val="{0000000F-F5AA-48F5-8198-C83F276E88DB}"/>
            </c:ext>
          </c:extLst>
        </c:ser>
        <c:ser>
          <c:idx val="16"/>
          <c:order val="16"/>
          <c:spPr>
            <a:ln>
              <a:solidFill>
                <a:sysClr val="windowText" lastClr="000000"/>
              </a:solidFill>
            </a:ln>
          </c:spPr>
          <c:marker>
            <c:symbol val="none"/>
          </c:marker>
          <c:xVal>
            <c:numRef>
              <c:f>PURPOSE!$AE$93:$AE$94</c:f>
              <c:numCache>
                <c:formatCode>General</c:formatCode>
                <c:ptCount val="2"/>
                <c:pt idx="0">
                  <c:v>410</c:v>
                </c:pt>
                <c:pt idx="1">
                  <c:v>318</c:v>
                </c:pt>
              </c:numCache>
            </c:numRef>
          </c:xVal>
          <c:yVal>
            <c:numRef>
              <c:f>PURPOSE!$AF$93:$AF$94</c:f>
              <c:numCache>
                <c:formatCode>General</c:formatCode>
                <c:ptCount val="2"/>
                <c:pt idx="0">
                  <c:v>250</c:v>
                </c:pt>
                <c:pt idx="1">
                  <c:v>-135</c:v>
                </c:pt>
              </c:numCache>
            </c:numRef>
          </c:yVal>
          <c:smooth val="0"/>
          <c:extLst>
            <c:ext xmlns:c16="http://schemas.microsoft.com/office/drawing/2014/chart" uri="{C3380CC4-5D6E-409C-BE32-E72D297353CC}">
              <c16:uniqueId val="{00000010-F5AA-48F5-8198-C83F276E88DB}"/>
            </c:ext>
          </c:extLst>
        </c:ser>
        <c:ser>
          <c:idx val="17"/>
          <c:order val="17"/>
          <c:spPr>
            <a:ln>
              <a:solidFill>
                <a:sysClr val="windowText" lastClr="000000"/>
              </a:solidFill>
            </a:ln>
          </c:spPr>
          <c:marker>
            <c:symbol val="none"/>
          </c:marker>
          <c:xVal>
            <c:numRef>
              <c:f>PURPOSE!$AE$96:$AE$97</c:f>
              <c:numCache>
                <c:formatCode>General</c:formatCode>
                <c:ptCount val="2"/>
                <c:pt idx="0">
                  <c:v>410</c:v>
                </c:pt>
                <c:pt idx="1">
                  <c:v>318</c:v>
                </c:pt>
              </c:numCache>
            </c:numRef>
          </c:xVal>
          <c:yVal>
            <c:numRef>
              <c:f>PURPOSE!$AF$96:$AF$97</c:f>
              <c:numCache>
                <c:formatCode>General</c:formatCode>
                <c:ptCount val="2"/>
                <c:pt idx="0">
                  <c:v>-250</c:v>
                </c:pt>
                <c:pt idx="1">
                  <c:v>135</c:v>
                </c:pt>
              </c:numCache>
            </c:numRef>
          </c:yVal>
          <c:smooth val="0"/>
          <c:extLst>
            <c:ext xmlns:c16="http://schemas.microsoft.com/office/drawing/2014/chart" uri="{C3380CC4-5D6E-409C-BE32-E72D297353CC}">
              <c16:uniqueId val="{00000011-F5AA-48F5-8198-C83F276E88DB}"/>
            </c:ext>
          </c:extLst>
        </c:ser>
        <c:ser>
          <c:idx val="18"/>
          <c:order val="18"/>
          <c:spPr>
            <a:ln>
              <a:solidFill>
                <a:sysClr val="windowText" lastClr="000000"/>
              </a:solidFill>
            </a:ln>
          </c:spPr>
          <c:marker>
            <c:symbol val="none"/>
          </c:marker>
          <c:xVal>
            <c:numRef>
              <c:f>PURPOSE!$AE$99:$AE$100</c:f>
              <c:numCache>
                <c:formatCode>General</c:formatCode>
                <c:ptCount val="2"/>
                <c:pt idx="0">
                  <c:v>0</c:v>
                </c:pt>
                <c:pt idx="1">
                  <c:v>0</c:v>
                </c:pt>
              </c:numCache>
            </c:numRef>
          </c:xVal>
          <c:yVal>
            <c:numRef>
              <c:f>PURPOSE!$AF$99:$AF$100</c:f>
              <c:numCache>
                <c:formatCode>General</c:formatCode>
                <c:ptCount val="2"/>
                <c:pt idx="0">
                  <c:v>250</c:v>
                </c:pt>
                <c:pt idx="1">
                  <c:v>135</c:v>
                </c:pt>
              </c:numCache>
            </c:numRef>
          </c:yVal>
          <c:smooth val="0"/>
          <c:extLst>
            <c:ext xmlns:c16="http://schemas.microsoft.com/office/drawing/2014/chart" uri="{C3380CC4-5D6E-409C-BE32-E72D297353CC}">
              <c16:uniqueId val="{00000012-F5AA-48F5-8198-C83F276E88DB}"/>
            </c:ext>
          </c:extLst>
        </c:ser>
        <c:ser>
          <c:idx val="19"/>
          <c:order val="19"/>
          <c:spPr>
            <a:ln>
              <a:solidFill>
                <a:sysClr val="windowText" lastClr="000000"/>
              </a:solidFill>
            </a:ln>
          </c:spPr>
          <c:marker>
            <c:symbol val="none"/>
          </c:marker>
          <c:xVal>
            <c:numRef>
              <c:f>PURPOSE!$AE$102:$AE$103</c:f>
              <c:numCache>
                <c:formatCode>General</c:formatCode>
                <c:ptCount val="2"/>
                <c:pt idx="0">
                  <c:v>0</c:v>
                </c:pt>
                <c:pt idx="1">
                  <c:v>318</c:v>
                </c:pt>
              </c:numCache>
            </c:numRef>
          </c:xVal>
          <c:yVal>
            <c:numRef>
              <c:f>PURPOSE!$AF$102:$AF$103</c:f>
              <c:numCache>
                <c:formatCode>General</c:formatCode>
                <c:ptCount val="2"/>
                <c:pt idx="0">
                  <c:v>250</c:v>
                </c:pt>
                <c:pt idx="1">
                  <c:v>135</c:v>
                </c:pt>
              </c:numCache>
            </c:numRef>
          </c:yVal>
          <c:smooth val="0"/>
          <c:extLst>
            <c:ext xmlns:c16="http://schemas.microsoft.com/office/drawing/2014/chart" uri="{C3380CC4-5D6E-409C-BE32-E72D297353CC}">
              <c16:uniqueId val="{00000013-F5AA-48F5-8198-C83F276E88DB}"/>
            </c:ext>
          </c:extLst>
        </c:ser>
        <c:ser>
          <c:idx val="20"/>
          <c:order val="20"/>
          <c:spPr>
            <a:ln>
              <a:solidFill>
                <a:sysClr val="windowText" lastClr="000000"/>
              </a:solidFill>
            </a:ln>
          </c:spPr>
          <c:marker>
            <c:symbol val="none"/>
          </c:marker>
          <c:xVal>
            <c:numRef>
              <c:f>PURPOSE!$AE$105:$AE$106</c:f>
              <c:numCache>
                <c:formatCode>General</c:formatCode>
                <c:ptCount val="2"/>
                <c:pt idx="0">
                  <c:v>0</c:v>
                </c:pt>
                <c:pt idx="1">
                  <c:v>0</c:v>
                </c:pt>
              </c:numCache>
            </c:numRef>
          </c:xVal>
          <c:yVal>
            <c:numRef>
              <c:f>PURPOSE!$AF$105:$AF$106</c:f>
              <c:numCache>
                <c:formatCode>General</c:formatCode>
                <c:ptCount val="2"/>
                <c:pt idx="0">
                  <c:v>-250</c:v>
                </c:pt>
                <c:pt idx="1">
                  <c:v>-135</c:v>
                </c:pt>
              </c:numCache>
            </c:numRef>
          </c:yVal>
          <c:smooth val="0"/>
          <c:extLst>
            <c:ext xmlns:c16="http://schemas.microsoft.com/office/drawing/2014/chart" uri="{C3380CC4-5D6E-409C-BE32-E72D297353CC}">
              <c16:uniqueId val="{00000014-F5AA-48F5-8198-C83F276E88DB}"/>
            </c:ext>
          </c:extLst>
        </c:ser>
        <c:ser>
          <c:idx val="21"/>
          <c:order val="21"/>
          <c:spPr>
            <a:ln>
              <a:solidFill>
                <a:sysClr val="windowText" lastClr="000000"/>
              </a:solidFill>
            </a:ln>
          </c:spPr>
          <c:marker>
            <c:symbol val="none"/>
          </c:marker>
          <c:xVal>
            <c:numRef>
              <c:f>PURPOSE!$AE$108:$AE$109</c:f>
              <c:numCache>
                <c:formatCode>General</c:formatCode>
                <c:ptCount val="2"/>
                <c:pt idx="0">
                  <c:v>0</c:v>
                </c:pt>
                <c:pt idx="1">
                  <c:v>318</c:v>
                </c:pt>
              </c:numCache>
            </c:numRef>
          </c:xVal>
          <c:yVal>
            <c:numRef>
              <c:f>PURPOSE!$AF$108:$AF$109</c:f>
              <c:numCache>
                <c:formatCode>General</c:formatCode>
                <c:ptCount val="2"/>
                <c:pt idx="0">
                  <c:v>-250</c:v>
                </c:pt>
                <c:pt idx="1">
                  <c:v>-135</c:v>
                </c:pt>
              </c:numCache>
            </c:numRef>
          </c:yVal>
          <c:smooth val="0"/>
          <c:extLst>
            <c:ext xmlns:c16="http://schemas.microsoft.com/office/drawing/2014/chart" uri="{C3380CC4-5D6E-409C-BE32-E72D297353CC}">
              <c16:uniqueId val="{00000015-F5AA-48F5-8198-C83F276E88DB}"/>
            </c:ext>
          </c:extLst>
        </c:ser>
        <c:ser>
          <c:idx val="22"/>
          <c:order val="22"/>
          <c:spPr>
            <a:ln>
              <a:solidFill>
                <a:sysClr val="windowText" lastClr="000000"/>
              </a:solidFill>
            </a:ln>
          </c:spPr>
          <c:marker>
            <c:symbol val="none"/>
          </c:marker>
          <c:xVal>
            <c:numRef>
              <c:f>PURPOSE!$AE$111:$AE$112</c:f>
              <c:numCache>
                <c:formatCode>General</c:formatCode>
                <c:ptCount val="2"/>
                <c:pt idx="0">
                  <c:v>410</c:v>
                </c:pt>
                <c:pt idx="1">
                  <c:v>318</c:v>
                </c:pt>
              </c:numCache>
            </c:numRef>
          </c:xVal>
          <c:yVal>
            <c:numRef>
              <c:f>PURPOSE!$AF$111:$AF$112</c:f>
              <c:numCache>
                <c:formatCode>General</c:formatCode>
                <c:ptCount val="2"/>
                <c:pt idx="0">
                  <c:v>250</c:v>
                </c:pt>
                <c:pt idx="1">
                  <c:v>135</c:v>
                </c:pt>
              </c:numCache>
            </c:numRef>
          </c:yVal>
          <c:smooth val="0"/>
          <c:extLst>
            <c:ext xmlns:c16="http://schemas.microsoft.com/office/drawing/2014/chart" uri="{C3380CC4-5D6E-409C-BE32-E72D297353CC}">
              <c16:uniqueId val="{00000016-F5AA-48F5-8198-C83F276E88DB}"/>
            </c:ext>
          </c:extLst>
        </c:ser>
        <c:ser>
          <c:idx val="23"/>
          <c:order val="23"/>
          <c:spPr>
            <a:ln>
              <a:solidFill>
                <a:sysClr val="windowText" lastClr="000000"/>
              </a:solidFill>
            </a:ln>
          </c:spPr>
          <c:marker>
            <c:symbol val="none"/>
          </c:marker>
          <c:xVal>
            <c:numRef>
              <c:f>PURPOSE!$AE$114:$AE$115</c:f>
              <c:numCache>
                <c:formatCode>General</c:formatCode>
                <c:ptCount val="2"/>
                <c:pt idx="0">
                  <c:v>410</c:v>
                </c:pt>
                <c:pt idx="1">
                  <c:v>0</c:v>
                </c:pt>
              </c:numCache>
            </c:numRef>
          </c:xVal>
          <c:yVal>
            <c:numRef>
              <c:f>PURPOSE!$AF$114:$AF$115</c:f>
              <c:numCache>
                <c:formatCode>General</c:formatCode>
                <c:ptCount val="2"/>
                <c:pt idx="0">
                  <c:v>250</c:v>
                </c:pt>
                <c:pt idx="1">
                  <c:v>135</c:v>
                </c:pt>
              </c:numCache>
            </c:numRef>
          </c:yVal>
          <c:smooth val="0"/>
          <c:extLst>
            <c:ext xmlns:c16="http://schemas.microsoft.com/office/drawing/2014/chart" uri="{C3380CC4-5D6E-409C-BE32-E72D297353CC}">
              <c16:uniqueId val="{00000017-F5AA-48F5-8198-C83F276E88DB}"/>
            </c:ext>
          </c:extLst>
        </c:ser>
        <c:ser>
          <c:idx val="24"/>
          <c:order val="24"/>
          <c:spPr>
            <a:ln>
              <a:solidFill>
                <a:sysClr val="windowText" lastClr="000000"/>
              </a:solidFill>
            </a:ln>
          </c:spPr>
          <c:marker>
            <c:symbol val="none"/>
          </c:marker>
          <c:xVal>
            <c:numRef>
              <c:f>PURPOSE!$AE$117:$AE$118</c:f>
              <c:numCache>
                <c:formatCode>General</c:formatCode>
                <c:ptCount val="2"/>
                <c:pt idx="0">
                  <c:v>410</c:v>
                </c:pt>
                <c:pt idx="1">
                  <c:v>0</c:v>
                </c:pt>
              </c:numCache>
            </c:numRef>
          </c:xVal>
          <c:yVal>
            <c:numRef>
              <c:f>PURPOSE!$AF$117:$AF$118</c:f>
              <c:numCache>
                <c:formatCode>General</c:formatCode>
                <c:ptCount val="2"/>
                <c:pt idx="0">
                  <c:v>-250</c:v>
                </c:pt>
                <c:pt idx="1">
                  <c:v>-135</c:v>
                </c:pt>
              </c:numCache>
            </c:numRef>
          </c:yVal>
          <c:smooth val="0"/>
          <c:extLst>
            <c:ext xmlns:c16="http://schemas.microsoft.com/office/drawing/2014/chart" uri="{C3380CC4-5D6E-409C-BE32-E72D297353CC}">
              <c16:uniqueId val="{00000018-F5AA-48F5-8198-C83F276E88DB}"/>
            </c:ext>
          </c:extLst>
        </c:ser>
        <c:ser>
          <c:idx val="25"/>
          <c:order val="25"/>
          <c:spPr>
            <a:ln>
              <a:solidFill>
                <a:sysClr val="windowText" lastClr="000000"/>
              </a:solidFill>
            </a:ln>
          </c:spPr>
          <c:marker>
            <c:symbol val="none"/>
          </c:marker>
          <c:xVal>
            <c:numRef>
              <c:f>PURPOSE!$AE$120:$AE$121</c:f>
              <c:numCache>
                <c:formatCode>General</c:formatCode>
                <c:ptCount val="2"/>
                <c:pt idx="0">
                  <c:v>410</c:v>
                </c:pt>
                <c:pt idx="1">
                  <c:v>318</c:v>
                </c:pt>
              </c:numCache>
            </c:numRef>
          </c:xVal>
          <c:yVal>
            <c:numRef>
              <c:f>PURPOSE!$AF$120:$AF$121</c:f>
              <c:numCache>
                <c:formatCode>General</c:formatCode>
                <c:ptCount val="2"/>
                <c:pt idx="0">
                  <c:v>-250</c:v>
                </c:pt>
                <c:pt idx="1">
                  <c:v>-135</c:v>
                </c:pt>
              </c:numCache>
            </c:numRef>
          </c:yVal>
          <c:smooth val="0"/>
          <c:extLst>
            <c:ext xmlns:c16="http://schemas.microsoft.com/office/drawing/2014/chart" uri="{C3380CC4-5D6E-409C-BE32-E72D297353CC}">
              <c16:uniqueId val="{00000019-F5AA-48F5-8198-C83F276E88DB}"/>
            </c:ext>
          </c:extLst>
        </c:ser>
        <c:ser>
          <c:idx val="26"/>
          <c:order val="26"/>
          <c:marker>
            <c:symbol val="circle"/>
            <c:size val="7"/>
            <c:spPr>
              <a:solidFill>
                <a:sysClr val="windowText" lastClr="000000"/>
              </a:solidFill>
              <a:ln>
                <a:solidFill>
                  <a:schemeClr val="tx1"/>
                </a:solidFill>
              </a:ln>
            </c:spPr>
          </c:marker>
          <c:xVal>
            <c:numRef>
              <c:f>PURPOSE!$Y$35</c:f>
              <c:numCache>
                <c:formatCode>General</c:formatCode>
                <c:ptCount val="1"/>
                <c:pt idx="0">
                  <c:v>304.79999999999995</c:v>
                </c:pt>
              </c:numCache>
            </c:numRef>
          </c:xVal>
          <c:yVal>
            <c:numRef>
              <c:f>PURPOSE!$Z$35</c:f>
              <c:numCache>
                <c:formatCode>General</c:formatCode>
                <c:ptCount val="1"/>
                <c:pt idx="0">
                  <c:v>0</c:v>
                </c:pt>
              </c:numCache>
            </c:numRef>
          </c:yVal>
          <c:smooth val="0"/>
          <c:extLst>
            <c:ext xmlns:c16="http://schemas.microsoft.com/office/drawing/2014/chart" uri="{C3380CC4-5D6E-409C-BE32-E72D297353CC}">
              <c16:uniqueId val="{0000001A-F5AA-48F5-8198-C83F276E88DB}"/>
            </c:ext>
          </c:extLst>
        </c:ser>
        <c:dLbls>
          <c:showLegendKey val="0"/>
          <c:showVal val="0"/>
          <c:showCatName val="0"/>
          <c:showSerName val="0"/>
          <c:showPercent val="0"/>
          <c:showBubbleSize val="0"/>
        </c:dLbls>
        <c:axId val="781695984"/>
        <c:axId val="781693632"/>
      </c:scatterChart>
      <c:valAx>
        <c:axId val="781695984"/>
        <c:scaling>
          <c:orientation val="minMax"/>
          <c:max val="500"/>
          <c:min val="-50"/>
        </c:scaling>
        <c:delete val="0"/>
        <c:axPos val="b"/>
        <c:numFmt formatCode="General" sourceLinked="1"/>
        <c:majorTickMark val="out"/>
        <c:minorTickMark val="none"/>
        <c:tickLblPos val="nextTo"/>
        <c:crossAx val="781693632"/>
        <c:crosses val="autoZero"/>
        <c:crossBetween val="midCat"/>
      </c:valAx>
      <c:valAx>
        <c:axId val="781693632"/>
        <c:scaling>
          <c:orientation val="minMax"/>
          <c:max val="300"/>
          <c:min val="-300"/>
        </c:scaling>
        <c:delete val="1"/>
        <c:axPos val="l"/>
        <c:numFmt formatCode="General" sourceLinked="1"/>
        <c:majorTickMark val="out"/>
        <c:minorTickMark val="none"/>
        <c:tickLblPos val="none"/>
        <c:crossAx val="781695984"/>
        <c:crosses val="autoZero"/>
        <c:crossBetween val="midCat"/>
      </c:valAx>
      <c:spPr>
        <a:noFill/>
        <a:ln>
          <a:noFill/>
        </a:ln>
      </c:spPr>
    </c:plotArea>
    <c:plotVisOnly val="1"/>
    <c:dispBlanksAs val="gap"/>
    <c:showDLblsOverMax val="0"/>
  </c:chart>
  <c:spPr>
    <a:noFill/>
    <a:ln>
      <a:noFill/>
    </a:ln>
  </c:spPr>
  <c:printSettings>
    <c:headerFooter/>
    <c:pageMargins b="0.750000000000002" l="0.70000000000000062" r="0.70000000000000062" t="0.750000000000002" header="0.30000000000000032" footer="0.30000000000000032"/>
    <c:pageSetup/>
  </c:printSettings>
</c:chartSpace>
</file>

<file path=xl/ctrlProps/ctrlProp1.xml><?xml version="1.0" encoding="utf-8"?>
<formControlPr xmlns="http://schemas.microsoft.com/office/spreadsheetml/2009/9/main" objectType="Scroll" dx="16" fmlaLink="Z21" horiz="1" inc="5" max="400" page="10" val="218"/>
</file>

<file path=xl/ctrlProps/ctrlProp2.xml><?xml version="1.0" encoding="utf-8"?>
<formControlPr xmlns="http://schemas.microsoft.com/office/spreadsheetml/2009/9/main" objectType="Scroll" dx="16" fmlaLink="Z18" horiz="1" inc="5" max="200" page="10" val="0"/>
</file>

<file path=xl/ctrlProps/ctrlProp3.xml><?xml version="1.0" encoding="utf-8"?>
<formControlPr xmlns="http://schemas.microsoft.com/office/spreadsheetml/2009/9/main" objectType="Scroll" dx="16" fmlaLink="AB72" horiz="1" inc="5" max="250" page="10" val="135"/>
</file>

<file path=xl/ctrlProps/ctrlProp4.xml><?xml version="1.0" encoding="utf-8"?>
<formControlPr xmlns="http://schemas.microsoft.com/office/spreadsheetml/2009/9/main" objectType="Scroll" dx="16" fmlaLink="AA15" horiz="1" inc="5" max="250" page="10" val="250"/>
</file>

<file path=xl/ctrlProps/ctrlProp5.xml><?xml version="1.0" encoding="utf-8"?>
<formControlPr xmlns="http://schemas.microsoft.com/office/spreadsheetml/2009/9/main" objectType="Scroll" dx="16" fmlaLink="Z73" horiz="1" inc="5" max="250" page="10" val="115"/>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image" Target="../media/image2.gif"/><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hyperlink" Target="http://www.abbottaerospace.com/technical-library/donate/" TargetMode="External"/><Relationship Id="rId5" Type="http://schemas.openxmlformats.org/officeDocument/2006/relationships/image" Target="../media/image1.png"/><Relationship Id="rId4" Type="http://schemas.openxmlformats.org/officeDocument/2006/relationships/hyperlink" Target="http://www.abbottaerospace.com/"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68</xdr:row>
      <xdr:rowOff>3726</xdr:rowOff>
    </xdr:from>
    <xdr:to>
      <xdr:col>10</xdr:col>
      <xdr:colOff>488674</xdr:colOff>
      <xdr:row>112</xdr:row>
      <xdr:rowOff>66260</xdr:rowOff>
    </xdr:to>
    <xdr:grpSp>
      <xdr:nvGrpSpPr>
        <xdr:cNvPr id="2" name="Group 1"/>
        <xdr:cNvGrpSpPr/>
      </xdr:nvGrpSpPr>
      <xdr:grpSpPr>
        <a:xfrm>
          <a:off x="0" y="11890926"/>
          <a:ext cx="6726188" cy="7726077"/>
          <a:chOff x="136071" y="898260"/>
          <a:chExt cx="10341429" cy="11782700"/>
        </a:xfrm>
      </xdr:grpSpPr>
      <xdr:grpSp>
        <xdr:nvGrpSpPr>
          <xdr:cNvPr id="3" name="Group 41"/>
          <xdr:cNvGrpSpPr/>
        </xdr:nvGrpSpPr>
        <xdr:grpSpPr>
          <a:xfrm>
            <a:off x="136071" y="1188818"/>
            <a:ext cx="10341429" cy="3936951"/>
            <a:chOff x="1065577" y="717176"/>
            <a:chExt cx="9092047" cy="3936951"/>
          </a:xfrm>
        </xdr:grpSpPr>
        <xdr:cxnSp macro="">
          <xdr:nvCxnSpPr>
            <xdr:cNvPr id="48" name="Straight Connector 3"/>
            <xdr:cNvCxnSpPr/>
          </xdr:nvCxnSpPr>
          <xdr:spPr>
            <a:xfrm>
              <a:off x="1065577" y="717176"/>
              <a:ext cx="9092047" cy="3686"/>
            </a:xfrm>
            <a:prstGeom prst="line">
              <a:avLst/>
            </a:prstGeom>
            <a:ln w="6350">
              <a:solidFill>
                <a:schemeClr val="bg1">
                  <a:lumMod val="75000"/>
                </a:schemeClr>
              </a:solidFill>
              <a:prstDash val="lgDashDot"/>
            </a:ln>
          </xdr:spPr>
          <xdr:style>
            <a:lnRef idx="1">
              <a:schemeClr val="accent1"/>
            </a:lnRef>
            <a:fillRef idx="0">
              <a:schemeClr val="accent1"/>
            </a:fillRef>
            <a:effectRef idx="0">
              <a:schemeClr val="accent1"/>
            </a:effectRef>
            <a:fontRef idx="minor">
              <a:schemeClr val="tx1"/>
            </a:fontRef>
          </xdr:style>
        </xdr:cxnSp>
        <xdr:cxnSp macro="">
          <xdr:nvCxnSpPr>
            <xdr:cNvPr id="49" name="Straight Connector 4"/>
            <xdr:cNvCxnSpPr/>
          </xdr:nvCxnSpPr>
          <xdr:spPr>
            <a:xfrm>
              <a:off x="1065577" y="1311088"/>
              <a:ext cx="9092047" cy="3686"/>
            </a:xfrm>
            <a:prstGeom prst="line">
              <a:avLst/>
            </a:prstGeom>
            <a:ln w="6350">
              <a:solidFill>
                <a:schemeClr val="bg1">
                  <a:lumMod val="75000"/>
                </a:schemeClr>
              </a:solidFill>
              <a:prstDash val="lgDashDot"/>
            </a:ln>
          </xdr:spPr>
          <xdr:style>
            <a:lnRef idx="1">
              <a:schemeClr val="accent1"/>
            </a:lnRef>
            <a:fillRef idx="0">
              <a:schemeClr val="accent1"/>
            </a:fillRef>
            <a:effectRef idx="0">
              <a:schemeClr val="accent1"/>
            </a:effectRef>
            <a:fontRef idx="minor">
              <a:schemeClr val="tx1"/>
            </a:fontRef>
          </xdr:style>
        </xdr:cxnSp>
        <xdr:cxnSp macro="">
          <xdr:nvCxnSpPr>
            <xdr:cNvPr id="50" name="Straight Connector 5"/>
            <xdr:cNvCxnSpPr/>
          </xdr:nvCxnSpPr>
          <xdr:spPr>
            <a:xfrm>
              <a:off x="1065577" y="4650441"/>
              <a:ext cx="9092047" cy="3686"/>
            </a:xfrm>
            <a:prstGeom prst="line">
              <a:avLst/>
            </a:prstGeom>
            <a:ln w="6350">
              <a:solidFill>
                <a:schemeClr val="bg1">
                  <a:lumMod val="75000"/>
                </a:schemeClr>
              </a:solidFill>
              <a:prstDash val="lgDashDot"/>
            </a:ln>
          </xdr:spPr>
          <xdr:style>
            <a:lnRef idx="1">
              <a:schemeClr val="accent1"/>
            </a:lnRef>
            <a:fillRef idx="0">
              <a:schemeClr val="accent1"/>
            </a:fillRef>
            <a:effectRef idx="0">
              <a:schemeClr val="accent1"/>
            </a:effectRef>
            <a:fontRef idx="minor">
              <a:schemeClr val="tx1"/>
            </a:fontRef>
          </xdr:style>
        </xdr:cxnSp>
        <xdr:cxnSp macro="">
          <xdr:nvCxnSpPr>
            <xdr:cNvPr id="51" name="Straight Connector 6"/>
            <xdr:cNvCxnSpPr/>
          </xdr:nvCxnSpPr>
          <xdr:spPr>
            <a:xfrm>
              <a:off x="1065577" y="1658470"/>
              <a:ext cx="9092047" cy="3686"/>
            </a:xfrm>
            <a:prstGeom prst="line">
              <a:avLst/>
            </a:prstGeom>
            <a:ln w="6350">
              <a:solidFill>
                <a:schemeClr val="bg1">
                  <a:lumMod val="75000"/>
                </a:schemeClr>
              </a:solidFill>
              <a:prstDash val="lgDashDot"/>
            </a:ln>
          </xdr:spPr>
          <xdr:style>
            <a:lnRef idx="1">
              <a:schemeClr val="accent1"/>
            </a:lnRef>
            <a:fillRef idx="0">
              <a:schemeClr val="accent1"/>
            </a:fillRef>
            <a:effectRef idx="0">
              <a:schemeClr val="accent1"/>
            </a:effectRef>
            <a:fontRef idx="minor">
              <a:schemeClr val="tx1"/>
            </a:fontRef>
          </xdr:style>
        </xdr:cxnSp>
        <xdr:cxnSp macro="">
          <xdr:nvCxnSpPr>
            <xdr:cNvPr id="52" name="Straight Connector 7"/>
            <xdr:cNvCxnSpPr/>
          </xdr:nvCxnSpPr>
          <xdr:spPr>
            <a:xfrm>
              <a:off x="1065577" y="3339353"/>
              <a:ext cx="9092047" cy="3686"/>
            </a:xfrm>
            <a:prstGeom prst="line">
              <a:avLst/>
            </a:prstGeom>
            <a:ln w="6350">
              <a:solidFill>
                <a:schemeClr val="bg1">
                  <a:lumMod val="75000"/>
                </a:schemeClr>
              </a:solidFill>
              <a:prstDash val="lgDashDot"/>
            </a:ln>
          </xdr:spPr>
          <xdr:style>
            <a:lnRef idx="1">
              <a:schemeClr val="accent1"/>
            </a:lnRef>
            <a:fillRef idx="0">
              <a:schemeClr val="accent1"/>
            </a:fillRef>
            <a:effectRef idx="0">
              <a:schemeClr val="accent1"/>
            </a:effectRef>
            <a:fontRef idx="minor">
              <a:schemeClr val="tx1"/>
            </a:fontRef>
          </xdr:style>
        </xdr:cxnSp>
      </xdr:grpSp>
      <xdr:grpSp>
        <xdr:nvGrpSpPr>
          <xdr:cNvPr id="4" name="Group 40"/>
          <xdr:cNvGrpSpPr/>
        </xdr:nvGrpSpPr>
        <xdr:grpSpPr>
          <a:xfrm>
            <a:off x="749826" y="898260"/>
            <a:ext cx="2824483" cy="11782700"/>
            <a:chOff x="1659715" y="426618"/>
            <a:chExt cx="2729710" cy="8740588"/>
          </a:xfrm>
        </xdr:grpSpPr>
        <xdr:cxnSp macro="">
          <xdr:nvCxnSpPr>
            <xdr:cNvPr id="45" name="Straight Connector 9"/>
            <xdr:cNvCxnSpPr/>
          </xdr:nvCxnSpPr>
          <xdr:spPr>
            <a:xfrm rot="5400000">
              <a:off x="46352" y="4768103"/>
              <a:ext cx="8684558" cy="1588"/>
            </a:xfrm>
            <a:prstGeom prst="line">
              <a:avLst/>
            </a:prstGeom>
            <a:ln w="6350">
              <a:solidFill>
                <a:schemeClr val="bg1">
                  <a:lumMod val="75000"/>
                </a:schemeClr>
              </a:solidFill>
              <a:prstDash val="lgDashDot"/>
            </a:ln>
          </xdr:spPr>
          <xdr:style>
            <a:lnRef idx="1">
              <a:schemeClr val="accent1"/>
            </a:lnRef>
            <a:fillRef idx="0">
              <a:schemeClr val="accent1"/>
            </a:fillRef>
            <a:effectRef idx="0">
              <a:schemeClr val="accent1"/>
            </a:effectRef>
            <a:fontRef idx="minor">
              <a:schemeClr val="tx1"/>
            </a:fontRef>
          </xdr:style>
        </xdr:cxnSp>
        <xdr:cxnSp macro="">
          <xdr:nvCxnSpPr>
            <xdr:cNvPr id="46" name="Straight Connector 10"/>
            <xdr:cNvCxnSpPr/>
          </xdr:nvCxnSpPr>
          <xdr:spPr>
            <a:xfrm rot="5400000">
              <a:off x="-1828087" y="4824133"/>
              <a:ext cx="8684558" cy="1588"/>
            </a:xfrm>
            <a:prstGeom prst="line">
              <a:avLst/>
            </a:prstGeom>
            <a:ln w="6350">
              <a:solidFill>
                <a:schemeClr val="bg1">
                  <a:lumMod val="75000"/>
                </a:schemeClr>
              </a:solidFill>
              <a:prstDash val="lgDashDot"/>
            </a:ln>
          </xdr:spPr>
          <xdr:style>
            <a:lnRef idx="1">
              <a:schemeClr val="accent1"/>
            </a:lnRef>
            <a:fillRef idx="0">
              <a:schemeClr val="accent1"/>
            </a:fillRef>
            <a:effectRef idx="0">
              <a:schemeClr val="accent1"/>
            </a:effectRef>
            <a:fontRef idx="minor">
              <a:schemeClr val="tx1"/>
            </a:fontRef>
          </xdr:style>
        </xdr:cxnSp>
        <xdr:cxnSp macro="">
          <xdr:nvCxnSpPr>
            <xdr:cNvPr id="47" name="Straight Connector 46"/>
            <xdr:cNvCxnSpPr/>
          </xdr:nvCxnSpPr>
          <xdr:spPr>
            <a:xfrm rot="5400000">
              <a:off x="-2681770" y="4824133"/>
              <a:ext cx="8684558" cy="1588"/>
            </a:xfrm>
            <a:prstGeom prst="line">
              <a:avLst/>
            </a:prstGeom>
            <a:ln w="6350">
              <a:solidFill>
                <a:schemeClr val="bg1">
                  <a:lumMod val="75000"/>
                </a:schemeClr>
              </a:solidFill>
              <a:prstDash val="lgDashDot"/>
            </a:ln>
          </xdr:spPr>
          <xdr:style>
            <a:lnRef idx="1">
              <a:schemeClr val="accent1"/>
            </a:lnRef>
            <a:fillRef idx="0">
              <a:schemeClr val="accent1"/>
            </a:fillRef>
            <a:effectRef idx="0">
              <a:schemeClr val="accent1"/>
            </a:effectRef>
            <a:fontRef idx="minor">
              <a:schemeClr val="tx1"/>
            </a:fontRef>
          </xdr:style>
        </xdr:cxnSp>
      </xdr:grpSp>
      <xdr:grpSp>
        <xdr:nvGrpSpPr>
          <xdr:cNvPr id="5" name="Group 12"/>
          <xdr:cNvGrpSpPr/>
        </xdr:nvGrpSpPr>
        <xdr:grpSpPr>
          <a:xfrm>
            <a:off x="739076" y="1196289"/>
            <a:ext cx="3262218" cy="4325200"/>
            <a:chOff x="739076" y="1029601"/>
            <a:chExt cx="3262218" cy="4325200"/>
          </a:xfrm>
        </xdr:grpSpPr>
        <xdr:graphicFrame macro="">
          <xdr:nvGraphicFramePr>
            <xdr:cNvPr id="34" name="Chart 33"/>
            <xdr:cNvGraphicFramePr/>
          </xdr:nvGraphicFramePr>
          <xdr:xfrm>
            <a:off x="1479176" y="2298620"/>
            <a:ext cx="2324871" cy="3056181"/>
          </xdr:xfrm>
          <a:graphic>
            <a:graphicData uri="http://schemas.openxmlformats.org/drawingml/2006/chart">
              <c:chart xmlns:c="http://schemas.openxmlformats.org/drawingml/2006/chart" xmlns:r="http://schemas.openxmlformats.org/officeDocument/2006/relationships" r:id="rId1"/>
            </a:graphicData>
          </a:graphic>
        </xdr:graphicFrame>
        <xdr:grpSp>
          <xdr:nvGrpSpPr>
            <xdr:cNvPr id="35" name="Group 4"/>
            <xdr:cNvGrpSpPr/>
          </xdr:nvGrpSpPr>
          <xdr:grpSpPr>
            <a:xfrm>
              <a:off x="739076" y="1029601"/>
              <a:ext cx="2812571" cy="3926728"/>
              <a:chOff x="1647265" y="724647"/>
              <a:chExt cx="2713777" cy="3926728"/>
            </a:xfrm>
          </xdr:grpSpPr>
          <xdr:sp macro="" textlink="">
            <xdr:nvSpPr>
              <xdr:cNvPr id="38" name="Freeform 5"/>
              <xdr:cNvSpPr/>
            </xdr:nvSpPr>
            <xdr:spPr>
              <a:xfrm>
                <a:off x="3722306" y="724647"/>
                <a:ext cx="638736" cy="597647"/>
              </a:xfrm>
              <a:custGeom>
                <a:avLst/>
                <a:gdLst>
                  <a:gd name="connsiteX0" fmla="*/ 54162 w 638736"/>
                  <a:gd name="connsiteY0" fmla="*/ 597647 h 597647"/>
                  <a:gd name="connsiteX1" fmla="*/ 491192 w 638736"/>
                  <a:gd name="connsiteY1" fmla="*/ 564029 h 597647"/>
                  <a:gd name="connsiteX2" fmla="*/ 636868 w 638736"/>
                  <a:gd name="connsiteY2" fmla="*/ 250265 h 597647"/>
                  <a:gd name="connsiteX3" fmla="*/ 479986 w 638736"/>
                  <a:gd name="connsiteY3" fmla="*/ 37353 h 597647"/>
                  <a:gd name="connsiteX4" fmla="*/ 222250 w 638736"/>
                  <a:gd name="connsiteY4" fmla="*/ 26147 h 597647"/>
                  <a:gd name="connsiteX5" fmla="*/ 31750 w 638736"/>
                  <a:gd name="connsiteY5" fmla="*/ 183029 h 597647"/>
                  <a:gd name="connsiteX6" fmla="*/ 31750 w 638736"/>
                  <a:gd name="connsiteY6" fmla="*/ 552824 h 597647"/>
                  <a:gd name="connsiteX0" fmla="*/ 54162 w 638736"/>
                  <a:gd name="connsiteY0" fmla="*/ 597647 h 597647"/>
                  <a:gd name="connsiteX1" fmla="*/ 439394 w 638736"/>
                  <a:gd name="connsiteY1" fmla="*/ 564268 h 597647"/>
                  <a:gd name="connsiteX2" fmla="*/ 491192 w 638736"/>
                  <a:gd name="connsiteY2" fmla="*/ 564029 h 597647"/>
                  <a:gd name="connsiteX3" fmla="*/ 636868 w 638736"/>
                  <a:gd name="connsiteY3" fmla="*/ 250265 h 597647"/>
                  <a:gd name="connsiteX4" fmla="*/ 479986 w 638736"/>
                  <a:gd name="connsiteY4" fmla="*/ 37353 h 597647"/>
                  <a:gd name="connsiteX5" fmla="*/ 222250 w 638736"/>
                  <a:gd name="connsiteY5" fmla="*/ 26147 h 597647"/>
                  <a:gd name="connsiteX6" fmla="*/ 31750 w 638736"/>
                  <a:gd name="connsiteY6" fmla="*/ 183029 h 597647"/>
                  <a:gd name="connsiteX7" fmla="*/ 31750 w 638736"/>
                  <a:gd name="connsiteY7" fmla="*/ 552824 h 59764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638736" h="597647">
                    <a:moveTo>
                      <a:pt x="54162" y="597647"/>
                    </a:moveTo>
                    <a:lnTo>
                      <a:pt x="439394" y="564268"/>
                    </a:lnTo>
                    <a:lnTo>
                      <a:pt x="491192" y="564029"/>
                    </a:lnTo>
                    <a:cubicBezTo>
                      <a:pt x="588310" y="506132"/>
                      <a:pt x="638736" y="338044"/>
                      <a:pt x="636868" y="250265"/>
                    </a:cubicBezTo>
                    <a:cubicBezTo>
                      <a:pt x="635000" y="162486"/>
                      <a:pt x="549089" y="74706"/>
                      <a:pt x="479986" y="37353"/>
                    </a:cubicBezTo>
                    <a:cubicBezTo>
                      <a:pt x="410883" y="0"/>
                      <a:pt x="296956" y="1868"/>
                      <a:pt x="222250" y="26147"/>
                    </a:cubicBezTo>
                    <a:cubicBezTo>
                      <a:pt x="147544" y="50426"/>
                      <a:pt x="63500" y="95250"/>
                      <a:pt x="31750" y="183029"/>
                    </a:cubicBezTo>
                    <a:cubicBezTo>
                      <a:pt x="0" y="270809"/>
                      <a:pt x="15875" y="411816"/>
                      <a:pt x="31750" y="552824"/>
                    </a:cubicBezTo>
                  </a:path>
                </a:pathLst>
              </a:custGeom>
              <a:solidFill>
                <a:schemeClr val="bg1"/>
              </a:solidFill>
              <a:ln w="1905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en-CA" sz="1100"/>
              </a:p>
            </xdr:txBody>
          </xdr:sp>
          <xdr:sp macro="" textlink="">
            <xdr:nvSpPr>
              <xdr:cNvPr id="39" name="Freeform 6"/>
              <xdr:cNvSpPr/>
            </xdr:nvSpPr>
            <xdr:spPr>
              <a:xfrm>
                <a:off x="2502647" y="1860176"/>
                <a:ext cx="1654735" cy="1045883"/>
              </a:xfrm>
              <a:custGeom>
                <a:avLst/>
                <a:gdLst>
                  <a:gd name="connsiteX0" fmla="*/ 1397000 w 1654735"/>
                  <a:gd name="connsiteY0" fmla="*/ 0 h 1045883"/>
                  <a:gd name="connsiteX1" fmla="*/ 1161677 w 1654735"/>
                  <a:gd name="connsiteY1" fmla="*/ 313765 h 1045883"/>
                  <a:gd name="connsiteX2" fmla="*/ 1072029 w 1654735"/>
                  <a:gd name="connsiteY2" fmla="*/ 560295 h 1045883"/>
                  <a:gd name="connsiteX3" fmla="*/ 870324 w 1654735"/>
                  <a:gd name="connsiteY3" fmla="*/ 571500 h 1045883"/>
                  <a:gd name="connsiteX4" fmla="*/ 511735 w 1654735"/>
                  <a:gd name="connsiteY4" fmla="*/ 739589 h 1045883"/>
                  <a:gd name="connsiteX5" fmla="*/ 399677 w 1654735"/>
                  <a:gd name="connsiteY5" fmla="*/ 795618 h 1045883"/>
                  <a:gd name="connsiteX6" fmla="*/ 74706 w 1654735"/>
                  <a:gd name="connsiteY6" fmla="*/ 952500 h 1045883"/>
                  <a:gd name="connsiteX7" fmla="*/ 63500 w 1654735"/>
                  <a:gd name="connsiteY7" fmla="*/ 1030942 h 1045883"/>
                  <a:gd name="connsiteX8" fmla="*/ 455706 w 1654735"/>
                  <a:gd name="connsiteY8" fmla="*/ 862853 h 1045883"/>
                  <a:gd name="connsiteX9" fmla="*/ 915147 w 1654735"/>
                  <a:gd name="connsiteY9" fmla="*/ 784412 h 1045883"/>
                  <a:gd name="connsiteX10" fmla="*/ 1251324 w 1654735"/>
                  <a:gd name="connsiteY10" fmla="*/ 582706 h 1045883"/>
                  <a:gd name="connsiteX11" fmla="*/ 1654735 w 1654735"/>
                  <a:gd name="connsiteY11" fmla="*/ 67236 h 1045883"/>
                  <a:gd name="connsiteX0" fmla="*/ 1397000 w 1654735"/>
                  <a:gd name="connsiteY0" fmla="*/ 0 h 1045883"/>
                  <a:gd name="connsiteX1" fmla="*/ 1161677 w 1654735"/>
                  <a:gd name="connsiteY1" fmla="*/ 313765 h 1045883"/>
                  <a:gd name="connsiteX2" fmla="*/ 1072029 w 1654735"/>
                  <a:gd name="connsiteY2" fmla="*/ 560295 h 1045883"/>
                  <a:gd name="connsiteX3" fmla="*/ 870324 w 1654735"/>
                  <a:gd name="connsiteY3" fmla="*/ 571500 h 1045883"/>
                  <a:gd name="connsiteX4" fmla="*/ 511735 w 1654735"/>
                  <a:gd name="connsiteY4" fmla="*/ 739589 h 1045883"/>
                  <a:gd name="connsiteX5" fmla="*/ 399677 w 1654735"/>
                  <a:gd name="connsiteY5" fmla="*/ 795618 h 1045883"/>
                  <a:gd name="connsiteX6" fmla="*/ 74706 w 1654735"/>
                  <a:gd name="connsiteY6" fmla="*/ 952500 h 1045883"/>
                  <a:gd name="connsiteX7" fmla="*/ 63500 w 1654735"/>
                  <a:gd name="connsiteY7" fmla="*/ 1030942 h 1045883"/>
                  <a:gd name="connsiteX8" fmla="*/ 455706 w 1654735"/>
                  <a:gd name="connsiteY8" fmla="*/ 862853 h 1045883"/>
                  <a:gd name="connsiteX9" fmla="*/ 590177 w 1654735"/>
                  <a:gd name="connsiteY9" fmla="*/ 896471 h 1045883"/>
                  <a:gd name="connsiteX10" fmla="*/ 915147 w 1654735"/>
                  <a:gd name="connsiteY10" fmla="*/ 784412 h 1045883"/>
                  <a:gd name="connsiteX11" fmla="*/ 1251324 w 1654735"/>
                  <a:gd name="connsiteY11" fmla="*/ 582706 h 1045883"/>
                  <a:gd name="connsiteX12" fmla="*/ 1654735 w 1654735"/>
                  <a:gd name="connsiteY12" fmla="*/ 67236 h 1045883"/>
                  <a:gd name="connsiteX0" fmla="*/ 1397000 w 1654735"/>
                  <a:gd name="connsiteY0" fmla="*/ 0 h 1045883"/>
                  <a:gd name="connsiteX1" fmla="*/ 1161677 w 1654735"/>
                  <a:gd name="connsiteY1" fmla="*/ 313765 h 1045883"/>
                  <a:gd name="connsiteX2" fmla="*/ 1072029 w 1654735"/>
                  <a:gd name="connsiteY2" fmla="*/ 560295 h 1045883"/>
                  <a:gd name="connsiteX3" fmla="*/ 870324 w 1654735"/>
                  <a:gd name="connsiteY3" fmla="*/ 571500 h 1045883"/>
                  <a:gd name="connsiteX4" fmla="*/ 713441 w 1654735"/>
                  <a:gd name="connsiteY4" fmla="*/ 638736 h 1045883"/>
                  <a:gd name="connsiteX5" fmla="*/ 399677 w 1654735"/>
                  <a:gd name="connsiteY5" fmla="*/ 795618 h 1045883"/>
                  <a:gd name="connsiteX6" fmla="*/ 74706 w 1654735"/>
                  <a:gd name="connsiteY6" fmla="*/ 952500 h 1045883"/>
                  <a:gd name="connsiteX7" fmla="*/ 63500 w 1654735"/>
                  <a:gd name="connsiteY7" fmla="*/ 1030942 h 1045883"/>
                  <a:gd name="connsiteX8" fmla="*/ 455706 w 1654735"/>
                  <a:gd name="connsiteY8" fmla="*/ 862853 h 1045883"/>
                  <a:gd name="connsiteX9" fmla="*/ 590177 w 1654735"/>
                  <a:gd name="connsiteY9" fmla="*/ 896471 h 1045883"/>
                  <a:gd name="connsiteX10" fmla="*/ 915147 w 1654735"/>
                  <a:gd name="connsiteY10" fmla="*/ 784412 h 1045883"/>
                  <a:gd name="connsiteX11" fmla="*/ 1251324 w 1654735"/>
                  <a:gd name="connsiteY11" fmla="*/ 582706 h 1045883"/>
                  <a:gd name="connsiteX12" fmla="*/ 1654735 w 1654735"/>
                  <a:gd name="connsiteY12" fmla="*/ 67236 h 1045883"/>
                  <a:gd name="connsiteX0" fmla="*/ 1397000 w 1654735"/>
                  <a:gd name="connsiteY0" fmla="*/ 0 h 1045883"/>
                  <a:gd name="connsiteX1" fmla="*/ 1161677 w 1654735"/>
                  <a:gd name="connsiteY1" fmla="*/ 313765 h 1045883"/>
                  <a:gd name="connsiteX2" fmla="*/ 1072029 w 1654735"/>
                  <a:gd name="connsiteY2" fmla="*/ 560295 h 1045883"/>
                  <a:gd name="connsiteX3" fmla="*/ 1049618 w 1654735"/>
                  <a:gd name="connsiteY3" fmla="*/ 504265 h 1045883"/>
                  <a:gd name="connsiteX4" fmla="*/ 870324 w 1654735"/>
                  <a:gd name="connsiteY4" fmla="*/ 571500 h 1045883"/>
                  <a:gd name="connsiteX5" fmla="*/ 713441 w 1654735"/>
                  <a:gd name="connsiteY5" fmla="*/ 638736 h 1045883"/>
                  <a:gd name="connsiteX6" fmla="*/ 399677 w 1654735"/>
                  <a:gd name="connsiteY6" fmla="*/ 795618 h 1045883"/>
                  <a:gd name="connsiteX7" fmla="*/ 74706 w 1654735"/>
                  <a:gd name="connsiteY7" fmla="*/ 952500 h 1045883"/>
                  <a:gd name="connsiteX8" fmla="*/ 63500 w 1654735"/>
                  <a:gd name="connsiteY8" fmla="*/ 1030942 h 1045883"/>
                  <a:gd name="connsiteX9" fmla="*/ 455706 w 1654735"/>
                  <a:gd name="connsiteY9" fmla="*/ 862853 h 1045883"/>
                  <a:gd name="connsiteX10" fmla="*/ 590177 w 1654735"/>
                  <a:gd name="connsiteY10" fmla="*/ 896471 h 1045883"/>
                  <a:gd name="connsiteX11" fmla="*/ 915147 w 1654735"/>
                  <a:gd name="connsiteY11" fmla="*/ 784412 h 1045883"/>
                  <a:gd name="connsiteX12" fmla="*/ 1251324 w 1654735"/>
                  <a:gd name="connsiteY12" fmla="*/ 582706 h 1045883"/>
                  <a:gd name="connsiteX13" fmla="*/ 1654735 w 1654735"/>
                  <a:gd name="connsiteY13" fmla="*/ 67236 h 1045883"/>
                  <a:gd name="connsiteX0" fmla="*/ 1397000 w 1654735"/>
                  <a:gd name="connsiteY0" fmla="*/ 0 h 1045883"/>
                  <a:gd name="connsiteX1" fmla="*/ 1161677 w 1654735"/>
                  <a:gd name="connsiteY1" fmla="*/ 313765 h 1045883"/>
                  <a:gd name="connsiteX2" fmla="*/ 1072029 w 1654735"/>
                  <a:gd name="connsiteY2" fmla="*/ 560295 h 1045883"/>
                  <a:gd name="connsiteX3" fmla="*/ 1049618 w 1654735"/>
                  <a:gd name="connsiteY3" fmla="*/ 504265 h 1045883"/>
                  <a:gd name="connsiteX4" fmla="*/ 870324 w 1654735"/>
                  <a:gd name="connsiteY4" fmla="*/ 571500 h 1045883"/>
                  <a:gd name="connsiteX5" fmla="*/ 713441 w 1654735"/>
                  <a:gd name="connsiteY5" fmla="*/ 638736 h 1045883"/>
                  <a:gd name="connsiteX6" fmla="*/ 399677 w 1654735"/>
                  <a:gd name="connsiteY6" fmla="*/ 795618 h 1045883"/>
                  <a:gd name="connsiteX7" fmla="*/ 74706 w 1654735"/>
                  <a:gd name="connsiteY7" fmla="*/ 952500 h 1045883"/>
                  <a:gd name="connsiteX8" fmla="*/ 63500 w 1654735"/>
                  <a:gd name="connsiteY8" fmla="*/ 1030942 h 1045883"/>
                  <a:gd name="connsiteX9" fmla="*/ 455706 w 1654735"/>
                  <a:gd name="connsiteY9" fmla="*/ 862853 h 1045883"/>
                  <a:gd name="connsiteX10" fmla="*/ 590177 w 1654735"/>
                  <a:gd name="connsiteY10" fmla="*/ 896471 h 1045883"/>
                  <a:gd name="connsiteX11" fmla="*/ 915147 w 1654735"/>
                  <a:gd name="connsiteY11" fmla="*/ 784412 h 1045883"/>
                  <a:gd name="connsiteX12" fmla="*/ 1251324 w 1654735"/>
                  <a:gd name="connsiteY12" fmla="*/ 582706 h 1045883"/>
                  <a:gd name="connsiteX13" fmla="*/ 1654735 w 1654735"/>
                  <a:gd name="connsiteY13" fmla="*/ 67236 h 1045883"/>
                  <a:gd name="connsiteX0" fmla="*/ 1397000 w 1654735"/>
                  <a:gd name="connsiteY0" fmla="*/ 0 h 1045883"/>
                  <a:gd name="connsiteX1" fmla="*/ 1161677 w 1654735"/>
                  <a:gd name="connsiteY1" fmla="*/ 313765 h 1045883"/>
                  <a:gd name="connsiteX2" fmla="*/ 1072029 w 1654735"/>
                  <a:gd name="connsiteY2" fmla="*/ 560295 h 1045883"/>
                  <a:gd name="connsiteX3" fmla="*/ 960547 w 1654735"/>
                  <a:gd name="connsiteY3" fmla="*/ 587609 h 1045883"/>
                  <a:gd name="connsiteX4" fmla="*/ 870324 w 1654735"/>
                  <a:gd name="connsiteY4" fmla="*/ 571500 h 1045883"/>
                  <a:gd name="connsiteX5" fmla="*/ 713441 w 1654735"/>
                  <a:gd name="connsiteY5" fmla="*/ 638736 h 1045883"/>
                  <a:gd name="connsiteX6" fmla="*/ 399677 w 1654735"/>
                  <a:gd name="connsiteY6" fmla="*/ 795618 h 1045883"/>
                  <a:gd name="connsiteX7" fmla="*/ 74706 w 1654735"/>
                  <a:gd name="connsiteY7" fmla="*/ 952500 h 1045883"/>
                  <a:gd name="connsiteX8" fmla="*/ 63500 w 1654735"/>
                  <a:gd name="connsiteY8" fmla="*/ 1030942 h 1045883"/>
                  <a:gd name="connsiteX9" fmla="*/ 455706 w 1654735"/>
                  <a:gd name="connsiteY9" fmla="*/ 862853 h 1045883"/>
                  <a:gd name="connsiteX10" fmla="*/ 590177 w 1654735"/>
                  <a:gd name="connsiteY10" fmla="*/ 896471 h 1045883"/>
                  <a:gd name="connsiteX11" fmla="*/ 915147 w 1654735"/>
                  <a:gd name="connsiteY11" fmla="*/ 784412 h 1045883"/>
                  <a:gd name="connsiteX12" fmla="*/ 1251324 w 1654735"/>
                  <a:gd name="connsiteY12" fmla="*/ 582706 h 1045883"/>
                  <a:gd name="connsiteX13" fmla="*/ 1654735 w 1654735"/>
                  <a:gd name="connsiteY13" fmla="*/ 67236 h 1045883"/>
                  <a:gd name="connsiteX0" fmla="*/ 1397000 w 1654735"/>
                  <a:gd name="connsiteY0" fmla="*/ 0 h 1045883"/>
                  <a:gd name="connsiteX1" fmla="*/ 1161677 w 1654735"/>
                  <a:gd name="connsiteY1" fmla="*/ 313765 h 1045883"/>
                  <a:gd name="connsiteX2" fmla="*/ 1072029 w 1654735"/>
                  <a:gd name="connsiteY2" fmla="*/ 560295 h 1045883"/>
                  <a:gd name="connsiteX3" fmla="*/ 960547 w 1654735"/>
                  <a:gd name="connsiteY3" fmla="*/ 587609 h 1045883"/>
                  <a:gd name="connsiteX4" fmla="*/ 870324 w 1654735"/>
                  <a:gd name="connsiteY4" fmla="*/ 571500 h 1045883"/>
                  <a:gd name="connsiteX5" fmla="*/ 820615 w 1654735"/>
                  <a:gd name="connsiteY5" fmla="*/ 598465 h 1045883"/>
                  <a:gd name="connsiteX6" fmla="*/ 713441 w 1654735"/>
                  <a:gd name="connsiteY6" fmla="*/ 638736 h 1045883"/>
                  <a:gd name="connsiteX7" fmla="*/ 399677 w 1654735"/>
                  <a:gd name="connsiteY7" fmla="*/ 795618 h 1045883"/>
                  <a:gd name="connsiteX8" fmla="*/ 74706 w 1654735"/>
                  <a:gd name="connsiteY8" fmla="*/ 952500 h 1045883"/>
                  <a:gd name="connsiteX9" fmla="*/ 63500 w 1654735"/>
                  <a:gd name="connsiteY9" fmla="*/ 1030942 h 1045883"/>
                  <a:gd name="connsiteX10" fmla="*/ 455706 w 1654735"/>
                  <a:gd name="connsiteY10" fmla="*/ 862853 h 1045883"/>
                  <a:gd name="connsiteX11" fmla="*/ 590177 w 1654735"/>
                  <a:gd name="connsiteY11" fmla="*/ 896471 h 1045883"/>
                  <a:gd name="connsiteX12" fmla="*/ 915147 w 1654735"/>
                  <a:gd name="connsiteY12" fmla="*/ 784412 h 1045883"/>
                  <a:gd name="connsiteX13" fmla="*/ 1251324 w 1654735"/>
                  <a:gd name="connsiteY13" fmla="*/ 582706 h 1045883"/>
                  <a:gd name="connsiteX14" fmla="*/ 1654735 w 1654735"/>
                  <a:gd name="connsiteY14" fmla="*/ 67236 h 1045883"/>
                  <a:gd name="connsiteX0" fmla="*/ 1397000 w 1654735"/>
                  <a:gd name="connsiteY0" fmla="*/ 0 h 1045883"/>
                  <a:gd name="connsiteX1" fmla="*/ 1161677 w 1654735"/>
                  <a:gd name="connsiteY1" fmla="*/ 313765 h 1045883"/>
                  <a:gd name="connsiteX2" fmla="*/ 1072029 w 1654735"/>
                  <a:gd name="connsiteY2" fmla="*/ 560295 h 1045883"/>
                  <a:gd name="connsiteX3" fmla="*/ 960547 w 1654735"/>
                  <a:gd name="connsiteY3" fmla="*/ 587609 h 1045883"/>
                  <a:gd name="connsiteX4" fmla="*/ 870324 w 1654735"/>
                  <a:gd name="connsiteY4" fmla="*/ 571500 h 1045883"/>
                  <a:gd name="connsiteX5" fmla="*/ 713441 w 1654735"/>
                  <a:gd name="connsiteY5" fmla="*/ 638736 h 1045883"/>
                  <a:gd name="connsiteX6" fmla="*/ 399677 w 1654735"/>
                  <a:gd name="connsiteY6" fmla="*/ 795618 h 1045883"/>
                  <a:gd name="connsiteX7" fmla="*/ 74706 w 1654735"/>
                  <a:gd name="connsiteY7" fmla="*/ 952500 h 1045883"/>
                  <a:gd name="connsiteX8" fmla="*/ 63500 w 1654735"/>
                  <a:gd name="connsiteY8" fmla="*/ 1030942 h 1045883"/>
                  <a:gd name="connsiteX9" fmla="*/ 455706 w 1654735"/>
                  <a:gd name="connsiteY9" fmla="*/ 862853 h 1045883"/>
                  <a:gd name="connsiteX10" fmla="*/ 590177 w 1654735"/>
                  <a:gd name="connsiteY10" fmla="*/ 896471 h 1045883"/>
                  <a:gd name="connsiteX11" fmla="*/ 915147 w 1654735"/>
                  <a:gd name="connsiteY11" fmla="*/ 784412 h 1045883"/>
                  <a:gd name="connsiteX12" fmla="*/ 1251324 w 1654735"/>
                  <a:gd name="connsiteY12" fmla="*/ 582706 h 1045883"/>
                  <a:gd name="connsiteX13" fmla="*/ 1654735 w 1654735"/>
                  <a:gd name="connsiteY13" fmla="*/ 67236 h 1045883"/>
                  <a:gd name="connsiteX0" fmla="*/ 1397000 w 1654735"/>
                  <a:gd name="connsiteY0" fmla="*/ 0 h 1045883"/>
                  <a:gd name="connsiteX1" fmla="*/ 1161677 w 1654735"/>
                  <a:gd name="connsiteY1" fmla="*/ 313765 h 1045883"/>
                  <a:gd name="connsiteX2" fmla="*/ 1072029 w 1654735"/>
                  <a:gd name="connsiteY2" fmla="*/ 560295 h 1045883"/>
                  <a:gd name="connsiteX3" fmla="*/ 960547 w 1654735"/>
                  <a:gd name="connsiteY3" fmla="*/ 587609 h 1045883"/>
                  <a:gd name="connsiteX4" fmla="*/ 957190 w 1654735"/>
                  <a:gd name="connsiteY4" fmla="*/ 592512 h 1045883"/>
                  <a:gd name="connsiteX5" fmla="*/ 870324 w 1654735"/>
                  <a:gd name="connsiteY5" fmla="*/ 571500 h 1045883"/>
                  <a:gd name="connsiteX6" fmla="*/ 713441 w 1654735"/>
                  <a:gd name="connsiteY6" fmla="*/ 638736 h 1045883"/>
                  <a:gd name="connsiteX7" fmla="*/ 399677 w 1654735"/>
                  <a:gd name="connsiteY7" fmla="*/ 795618 h 1045883"/>
                  <a:gd name="connsiteX8" fmla="*/ 74706 w 1654735"/>
                  <a:gd name="connsiteY8" fmla="*/ 952500 h 1045883"/>
                  <a:gd name="connsiteX9" fmla="*/ 63500 w 1654735"/>
                  <a:gd name="connsiteY9" fmla="*/ 1030942 h 1045883"/>
                  <a:gd name="connsiteX10" fmla="*/ 455706 w 1654735"/>
                  <a:gd name="connsiteY10" fmla="*/ 862853 h 1045883"/>
                  <a:gd name="connsiteX11" fmla="*/ 590177 w 1654735"/>
                  <a:gd name="connsiteY11" fmla="*/ 896471 h 1045883"/>
                  <a:gd name="connsiteX12" fmla="*/ 915147 w 1654735"/>
                  <a:gd name="connsiteY12" fmla="*/ 784412 h 1045883"/>
                  <a:gd name="connsiteX13" fmla="*/ 1251324 w 1654735"/>
                  <a:gd name="connsiteY13" fmla="*/ 582706 h 1045883"/>
                  <a:gd name="connsiteX14" fmla="*/ 1654735 w 1654735"/>
                  <a:gd name="connsiteY14" fmla="*/ 67236 h 1045883"/>
                  <a:gd name="connsiteX0" fmla="*/ 1397000 w 1654735"/>
                  <a:gd name="connsiteY0" fmla="*/ 0 h 1045883"/>
                  <a:gd name="connsiteX1" fmla="*/ 1161677 w 1654735"/>
                  <a:gd name="connsiteY1" fmla="*/ 313765 h 1045883"/>
                  <a:gd name="connsiteX2" fmla="*/ 1072029 w 1654735"/>
                  <a:gd name="connsiteY2" fmla="*/ 560295 h 1045883"/>
                  <a:gd name="connsiteX3" fmla="*/ 960547 w 1654735"/>
                  <a:gd name="connsiteY3" fmla="*/ 587609 h 1045883"/>
                  <a:gd name="connsiteX4" fmla="*/ 870324 w 1654735"/>
                  <a:gd name="connsiteY4" fmla="*/ 571500 h 1045883"/>
                  <a:gd name="connsiteX5" fmla="*/ 713441 w 1654735"/>
                  <a:gd name="connsiteY5" fmla="*/ 638736 h 1045883"/>
                  <a:gd name="connsiteX6" fmla="*/ 399677 w 1654735"/>
                  <a:gd name="connsiteY6" fmla="*/ 795618 h 1045883"/>
                  <a:gd name="connsiteX7" fmla="*/ 74706 w 1654735"/>
                  <a:gd name="connsiteY7" fmla="*/ 952500 h 1045883"/>
                  <a:gd name="connsiteX8" fmla="*/ 63500 w 1654735"/>
                  <a:gd name="connsiteY8" fmla="*/ 1030942 h 1045883"/>
                  <a:gd name="connsiteX9" fmla="*/ 455706 w 1654735"/>
                  <a:gd name="connsiteY9" fmla="*/ 862853 h 1045883"/>
                  <a:gd name="connsiteX10" fmla="*/ 590177 w 1654735"/>
                  <a:gd name="connsiteY10" fmla="*/ 896471 h 1045883"/>
                  <a:gd name="connsiteX11" fmla="*/ 915147 w 1654735"/>
                  <a:gd name="connsiteY11" fmla="*/ 784412 h 1045883"/>
                  <a:gd name="connsiteX12" fmla="*/ 1251324 w 1654735"/>
                  <a:gd name="connsiteY12" fmla="*/ 582706 h 1045883"/>
                  <a:gd name="connsiteX13" fmla="*/ 1654735 w 1654735"/>
                  <a:gd name="connsiteY13" fmla="*/ 67236 h 1045883"/>
                  <a:gd name="connsiteX0" fmla="*/ 1397000 w 1654735"/>
                  <a:gd name="connsiteY0" fmla="*/ 0 h 1045883"/>
                  <a:gd name="connsiteX1" fmla="*/ 1161677 w 1654735"/>
                  <a:gd name="connsiteY1" fmla="*/ 313765 h 1045883"/>
                  <a:gd name="connsiteX2" fmla="*/ 1072029 w 1654735"/>
                  <a:gd name="connsiteY2" fmla="*/ 560295 h 1045883"/>
                  <a:gd name="connsiteX3" fmla="*/ 870324 w 1654735"/>
                  <a:gd name="connsiteY3" fmla="*/ 571500 h 1045883"/>
                  <a:gd name="connsiteX4" fmla="*/ 713441 w 1654735"/>
                  <a:gd name="connsiteY4" fmla="*/ 638736 h 1045883"/>
                  <a:gd name="connsiteX5" fmla="*/ 399677 w 1654735"/>
                  <a:gd name="connsiteY5" fmla="*/ 795618 h 1045883"/>
                  <a:gd name="connsiteX6" fmla="*/ 74706 w 1654735"/>
                  <a:gd name="connsiteY6" fmla="*/ 952500 h 1045883"/>
                  <a:gd name="connsiteX7" fmla="*/ 63500 w 1654735"/>
                  <a:gd name="connsiteY7" fmla="*/ 1030942 h 1045883"/>
                  <a:gd name="connsiteX8" fmla="*/ 455706 w 1654735"/>
                  <a:gd name="connsiteY8" fmla="*/ 862853 h 1045883"/>
                  <a:gd name="connsiteX9" fmla="*/ 590177 w 1654735"/>
                  <a:gd name="connsiteY9" fmla="*/ 896471 h 1045883"/>
                  <a:gd name="connsiteX10" fmla="*/ 915147 w 1654735"/>
                  <a:gd name="connsiteY10" fmla="*/ 784412 h 1045883"/>
                  <a:gd name="connsiteX11" fmla="*/ 1251324 w 1654735"/>
                  <a:gd name="connsiteY11" fmla="*/ 582706 h 1045883"/>
                  <a:gd name="connsiteX12" fmla="*/ 1654735 w 1654735"/>
                  <a:gd name="connsiteY12" fmla="*/ 67236 h 1045883"/>
                  <a:gd name="connsiteX0" fmla="*/ 1397000 w 1654735"/>
                  <a:gd name="connsiteY0" fmla="*/ 0 h 1045883"/>
                  <a:gd name="connsiteX1" fmla="*/ 1161677 w 1654735"/>
                  <a:gd name="connsiteY1" fmla="*/ 313765 h 1045883"/>
                  <a:gd name="connsiteX2" fmla="*/ 1072029 w 1654735"/>
                  <a:gd name="connsiteY2" fmla="*/ 560295 h 1045883"/>
                  <a:gd name="connsiteX3" fmla="*/ 1040323 w 1654735"/>
                  <a:gd name="connsiteY3" fmla="*/ 521074 h 1045883"/>
                  <a:gd name="connsiteX4" fmla="*/ 870324 w 1654735"/>
                  <a:gd name="connsiteY4" fmla="*/ 571500 h 1045883"/>
                  <a:gd name="connsiteX5" fmla="*/ 713441 w 1654735"/>
                  <a:gd name="connsiteY5" fmla="*/ 638736 h 1045883"/>
                  <a:gd name="connsiteX6" fmla="*/ 399677 w 1654735"/>
                  <a:gd name="connsiteY6" fmla="*/ 795618 h 1045883"/>
                  <a:gd name="connsiteX7" fmla="*/ 74706 w 1654735"/>
                  <a:gd name="connsiteY7" fmla="*/ 952500 h 1045883"/>
                  <a:gd name="connsiteX8" fmla="*/ 63500 w 1654735"/>
                  <a:gd name="connsiteY8" fmla="*/ 1030942 h 1045883"/>
                  <a:gd name="connsiteX9" fmla="*/ 455706 w 1654735"/>
                  <a:gd name="connsiteY9" fmla="*/ 862853 h 1045883"/>
                  <a:gd name="connsiteX10" fmla="*/ 590177 w 1654735"/>
                  <a:gd name="connsiteY10" fmla="*/ 896471 h 1045883"/>
                  <a:gd name="connsiteX11" fmla="*/ 915147 w 1654735"/>
                  <a:gd name="connsiteY11" fmla="*/ 784412 h 1045883"/>
                  <a:gd name="connsiteX12" fmla="*/ 1251324 w 1654735"/>
                  <a:gd name="connsiteY12" fmla="*/ 582706 h 1045883"/>
                  <a:gd name="connsiteX13" fmla="*/ 1654735 w 1654735"/>
                  <a:gd name="connsiteY13" fmla="*/ 67236 h 1045883"/>
                  <a:gd name="connsiteX0" fmla="*/ 1397000 w 1654735"/>
                  <a:gd name="connsiteY0" fmla="*/ 0 h 1045883"/>
                  <a:gd name="connsiteX1" fmla="*/ 1161677 w 1654735"/>
                  <a:gd name="connsiteY1" fmla="*/ 313765 h 1045883"/>
                  <a:gd name="connsiteX2" fmla="*/ 1072029 w 1654735"/>
                  <a:gd name="connsiteY2" fmla="*/ 560295 h 1045883"/>
                  <a:gd name="connsiteX3" fmla="*/ 870324 w 1654735"/>
                  <a:gd name="connsiteY3" fmla="*/ 571500 h 1045883"/>
                  <a:gd name="connsiteX4" fmla="*/ 713441 w 1654735"/>
                  <a:gd name="connsiteY4" fmla="*/ 638736 h 1045883"/>
                  <a:gd name="connsiteX5" fmla="*/ 399677 w 1654735"/>
                  <a:gd name="connsiteY5" fmla="*/ 795618 h 1045883"/>
                  <a:gd name="connsiteX6" fmla="*/ 74706 w 1654735"/>
                  <a:gd name="connsiteY6" fmla="*/ 952500 h 1045883"/>
                  <a:gd name="connsiteX7" fmla="*/ 63500 w 1654735"/>
                  <a:gd name="connsiteY7" fmla="*/ 1030942 h 1045883"/>
                  <a:gd name="connsiteX8" fmla="*/ 455706 w 1654735"/>
                  <a:gd name="connsiteY8" fmla="*/ 862853 h 1045883"/>
                  <a:gd name="connsiteX9" fmla="*/ 590177 w 1654735"/>
                  <a:gd name="connsiteY9" fmla="*/ 896471 h 1045883"/>
                  <a:gd name="connsiteX10" fmla="*/ 915147 w 1654735"/>
                  <a:gd name="connsiteY10" fmla="*/ 784412 h 1045883"/>
                  <a:gd name="connsiteX11" fmla="*/ 1251324 w 1654735"/>
                  <a:gd name="connsiteY11" fmla="*/ 582706 h 1045883"/>
                  <a:gd name="connsiteX12" fmla="*/ 1654735 w 1654735"/>
                  <a:gd name="connsiteY12" fmla="*/ 67236 h 1045883"/>
                  <a:gd name="connsiteX0" fmla="*/ 1397000 w 1654735"/>
                  <a:gd name="connsiteY0" fmla="*/ 0 h 1045883"/>
                  <a:gd name="connsiteX1" fmla="*/ 1161677 w 1654735"/>
                  <a:gd name="connsiteY1" fmla="*/ 313765 h 1045883"/>
                  <a:gd name="connsiteX2" fmla="*/ 1089844 w 1654735"/>
                  <a:gd name="connsiteY2" fmla="*/ 465045 h 1045883"/>
                  <a:gd name="connsiteX3" fmla="*/ 870324 w 1654735"/>
                  <a:gd name="connsiteY3" fmla="*/ 571500 h 1045883"/>
                  <a:gd name="connsiteX4" fmla="*/ 713441 w 1654735"/>
                  <a:gd name="connsiteY4" fmla="*/ 638736 h 1045883"/>
                  <a:gd name="connsiteX5" fmla="*/ 399677 w 1654735"/>
                  <a:gd name="connsiteY5" fmla="*/ 795618 h 1045883"/>
                  <a:gd name="connsiteX6" fmla="*/ 74706 w 1654735"/>
                  <a:gd name="connsiteY6" fmla="*/ 952500 h 1045883"/>
                  <a:gd name="connsiteX7" fmla="*/ 63500 w 1654735"/>
                  <a:gd name="connsiteY7" fmla="*/ 1030942 h 1045883"/>
                  <a:gd name="connsiteX8" fmla="*/ 455706 w 1654735"/>
                  <a:gd name="connsiteY8" fmla="*/ 862853 h 1045883"/>
                  <a:gd name="connsiteX9" fmla="*/ 590177 w 1654735"/>
                  <a:gd name="connsiteY9" fmla="*/ 896471 h 1045883"/>
                  <a:gd name="connsiteX10" fmla="*/ 915147 w 1654735"/>
                  <a:gd name="connsiteY10" fmla="*/ 784412 h 1045883"/>
                  <a:gd name="connsiteX11" fmla="*/ 1251324 w 1654735"/>
                  <a:gd name="connsiteY11" fmla="*/ 582706 h 1045883"/>
                  <a:gd name="connsiteX12" fmla="*/ 1654735 w 1654735"/>
                  <a:gd name="connsiteY12" fmla="*/ 67236 h 104588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1654735" h="1045883">
                    <a:moveTo>
                      <a:pt x="1397000" y="0"/>
                    </a:moveTo>
                    <a:cubicBezTo>
                      <a:pt x="1306419" y="110191"/>
                      <a:pt x="1212870" y="236258"/>
                      <a:pt x="1161677" y="313765"/>
                    </a:cubicBezTo>
                    <a:cubicBezTo>
                      <a:pt x="1110484" y="391273"/>
                      <a:pt x="1138403" y="422089"/>
                      <a:pt x="1089844" y="465045"/>
                    </a:cubicBezTo>
                    <a:cubicBezTo>
                      <a:pt x="1041285" y="508001"/>
                      <a:pt x="930089" y="558427"/>
                      <a:pt x="870324" y="571500"/>
                    </a:cubicBezTo>
                    <a:cubicBezTo>
                      <a:pt x="829699" y="579204"/>
                      <a:pt x="791882" y="601383"/>
                      <a:pt x="713441" y="638736"/>
                    </a:cubicBezTo>
                    <a:cubicBezTo>
                      <a:pt x="643285" y="671595"/>
                      <a:pt x="399677" y="795618"/>
                      <a:pt x="399677" y="795618"/>
                    </a:cubicBezTo>
                    <a:cubicBezTo>
                      <a:pt x="326839" y="831103"/>
                      <a:pt x="130735" y="913279"/>
                      <a:pt x="74706" y="952500"/>
                    </a:cubicBezTo>
                    <a:cubicBezTo>
                      <a:pt x="18677" y="991721"/>
                      <a:pt x="0" y="1045883"/>
                      <a:pt x="63500" y="1030942"/>
                    </a:cubicBezTo>
                    <a:cubicBezTo>
                      <a:pt x="127000" y="1016001"/>
                      <a:pt x="367927" y="885265"/>
                      <a:pt x="455706" y="862853"/>
                    </a:cubicBezTo>
                    <a:cubicBezTo>
                      <a:pt x="543486" y="840441"/>
                      <a:pt x="513604" y="909545"/>
                      <a:pt x="590177" y="896471"/>
                    </a:cubicBezTo>
                    <a:cubicBezTo>
                      <a:pt x="666751" y="883398"/>
                      <a:pt x="804956" y="836706"/>
                      <a:pt x="915147" y="784412"/>
                    </a:cubicBezTo>
                    <a:cubicBezTo>
                      <a:pt x="1025338" y="732118"/>
                      <a:pt x="1128059" y="702235"/>
                      <a:pt x="1251324" y="582706"/>
                    </a:cubicBezTo>
                    <a:cubicBezTo>
                      <a:pt x="1374589" y="463177"/>
                      <a:pt x="1514662" y="265206"/>
                      <a:pt x="1654735" y="67236"/>
                    </a:cubicBezTo>
                  </a:path>
                </a:pathLst>
              </a:custGeom>
              <a:ln w="1905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en-CA" sz="1100"/>
              </a:p>
            </xdr:txBody>
          </xdr:sp>
          <xdr:sp macro="" textlink="">
            <xdr:nvSpPr>
              <xdr:cNvPr id="40" name="Freeform 7"/>
              <xdr:cNvSpPr/>
            </xdr:nvSpPr>
            <xdr:spPr>
              <a:xfrm>
                <a:off x="3433203" y="1518397"/>
                <a:ext cx="909078" cy="1828960"/>
              </a:xfrm>
              <a:custGeom>
                <a:avLst/>
                <a:gdLst>
                  <a:gd name="connsiteX0" fmla="*/ 448235 w 980515"/>
                  <a:gd name="connsiteY0" fmla="*/ 1854574 h 1854574"/>
                  <a:gd name="connsiteX1" fmla="*/ 672353 w 980515"/>
                  <a:gd name="connsiteY1" fmla="*/ 1742515 h 1854574"/>
                  <a:gd name="connsiteX2" fmla="*/ 616323 w 980515"/>
                  <a:gd name="connsiteY2" fmla="*/ 1484779 h 1854574"/>
                  <a:gd name="connsiteX3" fmla="*/ 627529 w 980515"/>
                  <a:gd name="connsiteY3" fmla="*/ 1361515 h 1854574"/>
                  <a:gd name="connsiteX4" fmla="*/ 885264 w 980515"/>
                  <a:gd name="connsiteY4" fmla="*/ 689162 h 1854574"/>
                  <a:gd name="connsiteX5" fmla="*/ 963706 w 980515"/>
                  <a:gd name="connsiteY5" fmla="*/ 285750 h 1854574"/>
                  <a:gd name="connsiteX6" fmla="*/ 784411 w 980515"/>
                  <a:gd name="connsiteY6" fmla="*/ 39221 h 1854574"/>
                  <a:gd name="connsiteX7" fmla="*/ 414617 w 980515"/>
                  <a:gd name="connsiteY7" fmla="*/ 72838 h 1854574"/>
                  <a:gd name="connsiteX8" fmla="*/ 179294 w 980515"/>
                  <a:gd name="connsiteY8" fmla="*/ 476250 h 1854574"/>
                  <a:gd name="connsiteX9" fmla="*/ 0 w 980515"/>
                  <a:gd name="connsiteY9" fmla="*/ 935691 h 1854574"/>
                  <a:gd name="connsiteX0" fmla="*/ 448235 w 980515"/>
                  <a:gd name="connsiteY0" fmla="*/ 1910603 h 1910603"/>
                  <a:gd name="connsiteX1" fmla="*/ 672353 w 980515"/>
                  <a:gd name="connsiteY1" fmla="*/ 1742515 h 1910603"/>
                  <a:gd name="connsiteX2" fmla="*/ 616323 w 980515"/>
                  <a:gd name="connsiteY2" fmla="*/ 1484779 h 1910603"/>
                  <a:gd name="connsiteX3" fmla="*/ 627529 w 980515"/>
                  <a:gd name="connsiteY3" fmla="*/ 1361515 h 1910603"/>
                  <a:gd name="connsiteX4" fmla="*/ 885264 w 980515"/>
                  <a:gd name="connsiteY4" fmla="*/ 689162 h 1910603"/>
                  <a:gd name="connsiteX5" fmla="*/ 963706 w 980515"/>
                  <a:gd name="connsiteY5" fmla="*/ 285750 h 1910603"/>
                  <a:gd name="connsiteX6" fmla="*/ 784411 w 980515"/>
                  <a:gd name="connsiteY6" fmla="*/ 39221 h 1910603"/>
                  <a:gd name="connsiteX7" fmla="*/ 414617 w 980515"/>
                  <a:gd name="connsiteY7" fmla="*/ 72838 h 1910603"/>
                  <a:gd name="connsiteX8" fmla="*/ 179294 w 980515"/>
                  <a:gd name="connsiteY8" fmla="*/ 476250 h 1910603"/>
                  <a:gd name="connsiteX9" fmla="*/ 0 w 980515"/>
                  <a:gd name="connsiteY9" fmla="*/ 935691 h 1910603"/>
                  <a:gd name="connsiteX0" fmla="*/ 448235 w 980515"/>
                  <a:gd name="connsiteY0" fmla="*/ 1910603 h 1910603"/>
                  <a:gd name="connsiteX1" fmla="*/ 448235 w 980515"/>
                  <a:gd name="connsiteY1" fmla="*/ 1910603 h 1910603"/>
                  <a:gd name="connsiteX2" fmla="*/ 672353 w 980515"/>
                  <a:gd name="connsiteY2" fmla="*/ 1742515 h 1910603"/>
                  <a:gd name="connsiteX3" fmla="*/ 616323 w 980515"/>
                  <a:gd name="connsiteY3" fmla="*/ 1484779 h 1910603"/>
                  <a:gd name="connsiteX4" fmla="*/ 627529 w 980515"/>
                  <a:gd name="connsiteY4" fmla="*/ 1361515 h 1910603"/>
                  <a:gd name="connsiteX5" fmla="*/ 885264 w 980515"/>
                  <a:gd name="connsiteY5" fmla="*/ 689162 h 1910603"/>
                  <a:gd name="connsiteX6" fmla="*/ 963706 w 980515"/>
                  <a:gd name="connsiteY6" fmla="*/ 285750 h 1910603"/>
                  <a:gd name="connsiteX7" fmla="*/ 784411 w 980515"/>
                  <a:gd name="connsiteY7" fmla="*/ 39221 h 1910603"/>
                  <a:gd name="connsiteX8" fmla="*/ 414617 w 980515"/>
                  <a:gd name="connsiteY8" fmla="*/ 72838 h 1910603"/>
                  <a:gd name="connsiteX9" fmla="*/ 179294 w 980515"/>
                  <a:gd name="connsiteY9" fmla="*/ 476250 h 1910603"/>
                  <a:gd name="connsiteX10" fmla="*/ 0 w 980515"/>
                  <a:gd name="connsiteY10" fmla="*/ 935691 h 1910603"/>
                  <a:gd name="connsiteX0" fmla="*/ 377103 w 909383"/>
                  <a:gd name="connsiteY0" fmla="*/ 1910603 h 1910603"/>
                  <a:gd name="connsiteX1" fmla="*/ 377103 w 909383"/>
                  <a:gd name="connsiteY1" fmla="*/ 1910603 h 1910603"/>
                  <a:gd name="connsiteX2" fmla="*/ 601221 w 909383"/>
                  <a:gd name="connsiteY2" fmla="*/ 1742515 h 1910603"/>
                  <a:gd name="connsiteX3" fmla="*/ 545191 w 909383"/>
                  <a:gd name="connsiteY3" fmla="*/ 1484779 h 1910603"/>
                  <a:gd name="connsiteX4" fmla="*/ 556397 w 909383"/>
                  <a:gd name="connsiteY4" fmla="*/ 1361515 h 1910603"/>
                  <a:gd name="connsiteX5" fmla="*/ 814132 w 909383"/>
                  <a:gd name="connsiteY5" fmla="*/ 689162 h 1910603"/>
                  <a:gd name="connsiteX6" fmla="*/ 892574 w 909383"/>
                  <a:gd name="connsiteY6" fmla="*/ 285750 h 1910603"/>
                  <a:gd name="connsiteX7" fmla="*/ 713279 w 909383"/>
                  <a:gd name="connsiteY7" fmla="*/ 39221 h 1910603"/>
                  <a:gd name="connsiteX8" fmla="*/ 343485 w 909383"/>
                  <a:gd name="connsiteY8" fmla="*/ 72838 h 1910603"/>
                  <a:gd name="connsiteX9" fmla="*/ 108162 w 909383"/>
                  <a:gd name="connsiteY9" fmla="*/ 476250 h 1910603"/>
                  <a:gd name="connsiteX10" fmla="*/ 0 w 909383"/>
                  <a:gd name="connsiteY10" fmla="*/ 894020 h 1910603"/>
                  <a:gd name="connsiteX0" fmla="*/ 377103 w 909383"/>
                  <a:gd name="connsiteY0" fmla="*/ 1910603 h 1910603"/>
                  <a:gd name="connsiteX1" fmla="*/ 377103 w 909383"/>
                  <a:gd name="connsiteY1" fmla="*/ 1910603 h 1910603"/>
                  <a:gd name="connsiteX2" fmla="*/ 601221 w 909383"/>
                  <a:gd name="connsiteY2" fmla="*/ 1742515 h 1910603"/>
                  <a:gd name="connsiteX3" fmla="*/ 545191 w 909383"/>
                  <a:gd name="connsiteY3" fmla="*/ 1484779 h 1910603"/>
                  <a:gd name="connsiteX4" fmla="*/ 556397 w 909383"/>
                  <a:gd name="connsiteY4" fmla="*/ 1361515 h 1910603"/>
                  <a:gd name="connsiteX5" fmla="*/ 814132 w 909383"/>
                  <a:gd name="connsiteY5" fmla="*/ 689162 h 1910603"/>
                  <a:gd name="connsiteX6" fmla="*/ 892574 w 909383"/>
                  <a:gd name="connsiteY6" fmla="*/ 285750 h 1910603"/>
                  <a:gd name="connsiteX7" fmla="*/ 713279 w 909383"/>
                  <a:gd name="connsiteY7" fmla="*/ 39221 h 1910603"/>
                  <a:gd name="connsiteX8" fmla="*/ 343485 w 909383"/>
                  <a:gd name="connsiteY8" fmla="*/ 72838 h 1910603"/>
                  <a:gd name="connsiteX9" fmla="*/ 108162 w 909383"/>
                  <a:gd name="connsiteY9" fmla="*/ 476250 h 1910603"/>
                  <a:gd name="connsiteX10" fmla="*/ 0 w 909383"/>
                  <a:gd name="connsiteY10" fmla="*/ 894020 h 1910603"/>
                  <a:gd name="connsiteX0" fmla="*/ 377103 w 909383"/>
                  <a:gd name="connsiteY0" fmla="*/ 1910603 h 1910603"/>
                  <a:gd name="connsiteX1" fmla="*/ 377103 w 909383"/>
                  <a:gd name="connsiteY1" fmla="*/ 1910603 h 1910603"/>
                  <a:gd name="connsiteX2" fmla="*/ 601221 w 909383"/>
                  <a:gd name="connsiteY2" fmla="*/ 1742515 h 1910603"/>
                  <a:gd name="connsiteX3" fmla="*/ 545191 w 909383"/>
                  <a:gd name="connsiteY3" fmla="*/ 1484779 h 1910603"/>
                  <a:gd name="connsiteX4" fmla="*/ 556397 w 909383"/>
                  <a:gd name="connsiteY4" fmla="*/ 1361515 h 1910603"/>
                  <a:gd name="connsiteX5" fmla="*/ 814132 w 909383"/>
                  <a:gd name="connsiteY5" fmla="*/ 689162 h 1910603"/>
                  <a:gd name="connsiteX6" fmla="*/ 892574 w 909383"/>
                  <a:gd name="connsiteY6" fmla="*/ 285750 h 1910603"/>
                  <a:gd name="connsiteX7" fmla="*/ 713279 w 909383"/>
                  <a:gd name="connsiteY7" fmla="*/ 39221 h 1910603"/>
                  <a:gd name="connsiteX8" fmla="*/ 343485 w 909383"/>
                  <a:gd name="connsiteY8" fmla="*/ 72838 h 1910603"/>
                  <a:gd name="connsiteX9" fmla="*/ 108162 w 909383"/>
                  <a:gd name="connsiteY9" fmla="*/ 476250 h 1910603"/>
                  <a:gd name="connsiteX10" fmla="*/ 0 w 909383"/>
                  <a:gd name="connsiteY10" fmla="*/ 894020 h 1910603"/>
                  <a:gd name="connsiteX0" fmla="*/ 377103 w 909383"/>
                  <a:gd name="connsiteY0" fmla="*/ 1910603 h 1910603"/>
                  <a:gd name="connsiteX1" fmla="*/ 601221 w 909383"/>
                  <a:gd name="connsiteY1" fmla="*/ 1742515 h 1910603"/>
                  <a:gd name="connsiteX2" fmla="*/ 545191 w 909383"/>
                  <a:gd name="connsiteY2" fmla="*/ 1484779 h 1910603"/>
                  <a:gd name="connsiteX3" fmla="*/ 556397 w 909383"/>
                  <a:gd name="connsiteY3" fmla="*/ 1361515 h 1910603"/>
                  <a:gd name="connsiteX4" fmla="*/ 814132 w 909383"/>
                  <a:gd name="connsiteY4" fmla="*/ 689162 h 1910603"/>
                  <a:gd name="connsiteX5" fmla="*/ 892574 w 909383"/>
                  <a:gd name="connsiteY5" fmla="*/ 285750 h 1910603"/>
                  <a:gd name="connsiteX6" fmla="*/ 713279 w 909383"/>
                  <a:gd name="connsiteY6" fmla="*/ 39221 h 1910603"/>
                  <a:gd name="connsiteX7" fmla="*/ 343485 w 909383"/>
                  <a:gd name="connsiteY7" fmla="*/ 72838 h 1910603"/>
                  <a:gd name="connsiteX8" fmla="*/ 108162 w 909383"/>
                  <a:gd name="connsiteY8" fmla="*/ 476250 h 1910603"/>
                  <a:gd name="connsiteX9" fmla="*/ 0 w 909383"/>
                  <a:gd name="connsiteY9" fmla="*/ 894020 h 1910603"/>
                  <a:gd name="connsiteX0" fmla="*/ 431342 w 909383"/>
                  <a:gd name="connsiteY0" fmla="*/ 1828960 h 1828960"/>
                  <a:gd name="connsiteX1" fmla="*/ 601221 w 909383"/>
                  <a:gd name="connsiteY1" fmla="*/ 1742515 h 1828960"/>
                  <a:gd name="connsiteX2" fmla="*/ 545191 w 909383"/>
                  <a:gd name="connsiteY2" fmla="*/ 1484779 h 1828960"/>
                  <a:gd name="connsiteX3" fmla="*/ 556397 w 909383"/>
                  <a:gd name="connsiteY3" fmla="*/ 1361515 h 1828960"/>
                  <a:gd name="connsiteX4" fmla="*/ 814132 w 909383"/>
                  <a:gd name="connsiteY4" fmla="*/ 689162 h 1828960"/>
                  <a:gd name="connsiteX5" fmla="*/ 892574 w 909383"/>
                  <a:gd name="connsiteY5" fmla="*/ 285750 h 1828960"/>
                  <a:gd name="connsiteX6" fmla="*/ 713279 w 909383"/>
                  <a:gd name="connsiteY6" fmla="*/ 39221 h 1828960"/>
                  <a:gd name="connsiteX7" fmla="*/ 343485 w 909383"/>
                  <a:gd name="connsiteY7" fmla="*/ 72838 h 1828960"/>
                  <a:gd name="connsiteX8" fmla="*/ 108162 w 909383"/>
                  <a:gd name="connsiteY8" fmla="*/ 476250 h 1828960"/>
                  <a:gd name="connsiteX9" fmla="*/ 0 w 909383"/>
                  <a:gd name="connsiteY9" fmla="*/ 894020 h 1828960"/>
                  <a:gd name="connsiteX0" fmla="*/ 431342 w 909383"/>
                  <a:gd name="connsiteY0" fmla="*/ 1828960 h 1828960"/>
                  <a:gd name="connsiteX1" fmla="*/ 601221 w 909383"/>
                  <a:gd name="connsiteY1" fmla="*/ 1742515 h 1828960"/>
                  <a:gd name="connsiteX2" fmla="*/ 552690 w 909383"/>
                  <a:gd name="connsiteY2" fmla="*/ 1714660 h 1828960"/>
                  <a:gd name="connsiteX3" fmla="*/ 545191 w 909383"/>
                  <a:gd name="connsiteY3" fmla="*/ 1484779 h 1828960"/>
                  <a:gd name="connsiteX4" fmla="*/ 556397 w 909383"/>
                  <a:gd name="connsiteY4" fmla="*/ 1361515 h 1828960"/>
                  <a:gd name="connsiteX5" fmla="*/ 814132 w 909383"/>
                  <a:gd name="connsiteY5" fmla="*/ 689162 h 1828960"/>
                  <a:gd name="connsiteX6" fmla="*/ 892574 w 909383"/>
                  <a:gd name="connsiteY6" fmla="*/ 285750 h 1828960"/>
                  <a:gd name="connsiteX7" fmla="*/ 713279 w 909383"/>
                  <a:gd name="connsiteY7" fmla="*/ 39221 h 1828960"/>
                  <a:gd name="connsiteX8" fmla="*/ 343485 w 909383"/>
                  <a:gd name="connsiteY8" fmla="*/ 72838 h 1828960"/>
                  <a:gd name="connsiteX9" fmla="*/ 108162 w 909383"/>
                  <a:gd name="connsiteY9" fmla="*/ 476250 h 1828960"/>
                  <a:gd name="connsiteX10" fmla="*/ 0 w 909383"/>
                  <a:gd name="connsiteY10" fmla="*/ 894020 h 1828960"/>
                  <a:gd name="connsiteX0" fmla="*/ 431342 w 909383"/>
                  <a:gd name="connsiteY0" fmla="*/ 1828960 h 1828960"/>
                  <a:gd name="connsiteX1" fmla="*/ 552690 w 909383"/>
                  <a:gd name="connsiteY1" fmla="*/ 1714660 h 1828960"/>
                  <a:gd name="connsiteX2" fmla="*/ 545191 w 909383"/>
                  <a:gd name="connsiteY2" fmla="*/ 1484779 h 1828960"/>
                  <a:gd name="connsiteX3" fmla="*/ 556397 w 909383"/>
                  <a:gd name="connsiteY3" fmla="*/ 1361515 h 1828960"/>
                  <a:gd name="connsiteX4" fmla="*/ 814132 w 909383"/>
                  <a:gd name="connsiteY4" fmla="*/ 689162 h 1828960"/>
                  <a:gd name="connsiteX5" fmla="*/ 892574 w 909383"/>
                  <a:gd name="connsiteY5" fmla="*/ 285750 h 1828960"/>
                  <a:gd name="connsiteX6" fmla="*/ 713279 w 909383"/>
                  <a:gd name="connsiteY6" fmla="*/ 39221 h 1828960"/>
                  <a:gd name="connsiteX7" fmla="*/ 343485 w 909383"/>
                  <a:gd name="connsiteY7" fmla="*/ 72838 h 1828960"/>
                  <a:gd name="connsiteX8" fmla="*/ 108162 w 909383"/>
                  <a:gd name="connsiteY8" fmla="*/ 476250 h 1828960"/>
                  <a:gd name="connsiteX9" fmla="*/ 0 w 909383"/>
                  <a:gd name="connsiteY9" fmla="*/ 894020 h 1828960"/>
                  <a:gd name="connsiteX0" fmla="*/ 431342 w 909383"/>
                  <a:gd name="connsiteY0" fmla="*/ 1828960 h 1828960"/>
                  <a:gd name="connsiteX1" fmla="*/ 536418 w 909383"/>
                  <a:gd name="connsiteY1" fmla="*/ 1709217 h 1828960"/>
                  <a:gd name="connsiteX2" fmla="*/ 545191 w 909383"/>
                  <a:gd name="connsiteY2" fmla="*/ 1484779 h 1828960"/>
                  <a:gd name="connsiteX3" fmla="*/ 556397 w 909383"/>
                  <a:gd name="connsiteY3" fmla="*/ 1361515 h 1828960"/>
                  <a:gd name="connsiteX4" fmla="*/ 814132 w 909383"/>
                  <a:gd name="connsiteY4" fmla="*/ 689162 h 1828960"/>
                  <a:gd name="connsiteX5" fmla="*/ 892574 w 909383"/>
                  <a:gd name="connsiteY5" fmla="*/ 285750 h 1828960"/>
                  <a:gd name="connsiteX6" fmla="*/ 713279 w 909383"/>
                  <a:gd name="connsiteY6" fmla="*/ 39221 h 1828960"/>
                  <a:gd name="connsiteX7" fmla="*/ 343485 w 909383"/>
                  <a:gd name="connsiteY7" fmla="*/ 72838 h 1828960"/>
                  <a:gd name="connsiteX8" fmla="*/ 108162 w 909383"/>
                  <a:gd name="connsiteY8" fmla="*/ 476250 h 1828960"/>
                  <a:gd name="connsiteX9" fmla="*/ 0 w 909383"/>
                  <a:gd name="connsiteY9" fmla="*/ 894020 h 1828960"/>
                  <a:gd name="connsiteX0" fmla="*/ 431342 w 909383"/>
                  <a:gd name="connsiteY0" fmla="*/ 1828960 h 1828960"/>
                  <a:gd name="connsiteX1" fmla="*/ 536418 w 909383"/>
                  <a:gd name="connsiteY1" fmla="*/ 1709217 h 1828960"/>
                  <a:gd name="connsiteX2" fmla="*/ 545191 w 909383"/>
                  <a:gd name="connsiteY2" fmla="*/ 1484779 h 1828960"/>
                  <a:gd name="connsiteX3" fmla="*/ 605213 w 909383"/>
                  <a:gd name="connsiteY3" fmla="*/ 1307087 h 1828960"/>
                  <a:gd name="connsiteX4" fmla="*/ 814132 w 909383"/>
                  <a:gd name="connsiteY4" fmla="*/ 689162 h 1828960"/>
                  <a:gd name="connsiteX5" fmla="*/ 892574 w 909383"/>
                  <a:gd name="connsiteY5" fmla="*/ 285750 h 1828960"/>
                  <a:gd name="connsiteX6" fmla="*/ 713279 w 909383"/>
                  <a:gd name="connsiteY6" fmla="*/ 39221 h 1828960"/>
                  <a:gd name="connsiteX7" fmla="*/ 343485 w 909383"/>
                  <a:gd name="connsiteY7" fmla="*/ 72838 h 1828960"/>
                  <a:gd name="connsiteX8" fmla="*/ 108162 w 909383"/>
                  <a:gd name="connsiteY8" fmla="*/ 476250 h 1828960"/>
                  <a:gd name="connsiteX9" fmla="*/ 0 w 909383"/>
                  <a:gd name="connsiteY9" fmla="*/ 894020 h 1828960"/>
                  <a:gd name="connsiteX0" fmla="*/ 431342 w 909383"/>
                  <a:gd name="connsiteY0" fmla="*/ 1828960 h 1828960"/>
                  <a:gd name="connsiteX1" fmla="*/ 536418 w 909383"/>
                  <a:gd name="connsiteY1" fmla="*/ 1709217 h 1828960"/>
                  <a:gd name="connsiteX2" fmla="*/ 545191 w 909383"/>
                  <a:gd name="connsiteY2" fmla="*/ 1484779 h 1828960"/>
                  <a:gd name="connsiteX3" fmla="*/ 605213 w 909383"/>
                  <a:gd name="connsiteY3" fmla="*/ 1307087 h 1828960"/>
                  <a:gd name="connsiteX4" fmla="*/ 814132 w 909383"/>
                  <a:gd name="connsiteY4" fmla="*/ 689162 h 1828960"/>
                  <a:gd name="connsiteX5" fmla="*/ 892574 w 909383"/>
                  <a:gd name="connsiteY5" fmla="*/ 285750 h 1828960"/>
                  <a:gd name="connsiteX6" fmla="*/ 713279 w 909383"/>
                  <a:gd name="connsiteY6" fmla="*/ 39221 h 1828960"/>
                  <a:gd name="connsiteX7" fmla="*/ 343485 w 909383"/>
                  <a:gd name="connsiteY7" fmla="*/ 72838 h 1828960"/>
                  <a:gd name="connsiteX8" fmla="*/ 108162 w 909383"/>
                  <a:gd name="connsiteY8" fmla="*/ 476250 h 1828960"/>
                  <a:gd name="connsiteX9" fmla="*/ 0 w 909383"/>
                  <a:gd name="connsiteY9" fmla="*/ 894020 h 1828960"/>
                  <a:gd name="connsiteX0" fmla="*/ 431342 w 909383"/>
                  <a:gd name="connsiteY0" fmla="*/ 1828960 h 1828960"/>
                  <a:gd name="connsiteX1" fmla="*/ 536418 w 909383"/>
                  <a:gd name="connsiteY1" fmla="*/ 1709217 h 1828960"/>
                  <a:gd name="connsiteX2" fmla="*/ 545191 w 909383"/>
                  <a:gd name="connsiteY2" fmla="*/ 1484779 h 1828960"/>
                  <a:gd name="connsiteX3" fmla="*/ 605213 w 909383"/>
                  <a:gd name="connsiteY3" fmla="*/ 1307087 h 1828960"/>
                  <a:gd name="connsiteX4" fmla="*/ 814132 w 909383"/>
                  <a:gd name="connsiteY4" fmla="*/ 689162 h 1828960"/>
                  <a:gd name="connsiteX5" fmla="*/ 892574 w 909383"/>
                  <a:gd name="connsiteY5" fmla="*/ 285750 h 1828960"/>
                  <a:gd name="connsiteX6" fmla="*/ 713279 w 909383"/>
                  <a:gd name="connsiteY6" fmla="*/ 39221 h 1828960"/>
                  <a:gd name="connsiteX7" fmla="*/ 343485 w 909383"/>
                  <a:gd name="connsiteY7" fmla="*/ 72838 h 1828960"/>
                  <a:gd name="connsiteX8" fmla="*/ 108162 w 909383"/>
                  <a:gd name="connsiteY8" fmla="*/ 476250 h 1828960"/>
                  <a:gd name="connsiteX9" fmla="*/ 0 w 909383"/>
                  <a:gd name="connsiteY9" fmla="*/ 894020 h 1828960"/>
                  <a:gd name="connsiteX0" fmla="*/ 431342 w 909383"/>
                  <a:gd name="connsiteY0" fmla="*/ 1828960 h 1828960"/>
                  <a:gd name="connsiteX1" fmla="*/ 536418 w 909383"/>
                  <a:gd name="connsiteY1" fmla="*/ 1709217 h 1828960"/>
                  <a:gd name="connsiteX2" fmla="*/ 545191 w 909383"/>
                  <a:gd name="connsiteY2" fmla="*/ 1484779 h 1828960"/>
                  <a:gd name="connsiteX3" fmla="*/ 605213 w 909383"/>
                  <a:gd name="connsiteY3" fmla="*/ 1307087 h 1828960"/>
                  <a:gd name="connsiteX4" fmla="*/ 814132 w 909383"/>
                  <a:gd name="connsiteY4" fmla="*/ 689162 h 1828960"/>
                  <a:gd name="connsiteX5" fmla="*/ 892574 w 909383"/>
                  <a:gd name="connsiteY5" fmla="*/ 285750 h 1828960"/>
                  <a:gd name="connsiteX6" fmla="*/ 713279 w 909383"/>
                  <a:gd name="connsiteY6" fmla="*/ 39221 h 1828960"/>
                  <a:gd name="connsiteX7" fmla="*/ 343485 w 909383"/>
                  <a:gd name="connsiteY7" fmla="*/ 72838 h 1828960"/>
                  <a:gd name="connsiteX8" fmla="*/ 108162 w 909383"/>
                  <a:gd name="connsiteY8" fmla="*/ 476250 h 1828960"/>
                  <a:gd name="connsiteX9" fmla="*/ 0 w 909383"/>
                  <a:gd name="connsiteY9" fmla="*/ 894020 h 1828960"/>
                  <a:gd name="connsiteX0" fmla="*/ 431342 w 909383"/>
                  <a:gd name="connsiteY0" fmla="*/ 1828960 h 1828960"/>
                  <a:gd name="connsiteX1" fmla="*/ 536418 w 909383"/>
                  <a:gd name="connsiteY1" fmla="*/ 1709217 h 1828960"/>
                  <a:gd name="connsiteX2" fmla="*/ 561464 w 909383"/>
                  <a:gd name="connsiteY2" fmla="*/ 1473893 h 1828960"/>
                  <a:gd name="connsiteX3" fmla="*/ 605213 w 909383"/>
                  <a:gd name="connsiteY3" fmla="*/ 1307087 h 1828960"/>
                  <a:gd name="connsiteX4" fmla="*/ 814132 w 909383"/>
                  <a:gd name="connsiteY4" fmla="*/ 689162 h 1828960"/>
                  <a:gd name="connsiteX5" fmla="*/ 892574 w 909383"/>
                  <a:gd name="connsiteY5" fmla="*/ 285750 h 1828960"/>
                  <a:gd name="connsiteX6" fmla="*/ 713279 w 909383"/>
                  <a:gd name="connsiteY6" fmla="*/ 39221 h 1828960"/>
                  <a:gd name="connsiteX7" fmla="*/ 343485 w 909383"/>
                  <a:gd name="connsiteY7" fmla="*/ 72838 h 1828960"/>
                  <a:gd name="connsiteX8" fmla="*/ 108162 w 909383"/>
                  <a:gd name="connsiteY8" fmla="*/ 476250 h 1828960"/>
                  <a:gd name="connsiteX9" fmla="*/ 0 w 909383"/>
                  <a:gd name="connsiteY9" fmla="*/ 894020 h 1828960"/>
                  <a:gd name="connsiteX0" fmla="*/ 431342 w 909383"/>
                  <a:gd name="connsiteY0" fmla="*/ 1828960 h 1828960"/>
                  <a:gd name="connsiteX1" fmla="*/ 563537 w 909383"/>
                  <a:gd name="connsiteY1" fmla="*/ 1709217 h 1828960"/>
                  <a:gd name="connsiteX2" fmla="*/ 561464 w 909383"/>
                  <a:gd name="connsiteY2" fmla="*/ 1473893 h 1828960"/>
                  <a:gd name="connsiteX3" fmla="*/ 605213 w 909383"/>
                  <a:gd name="connsiteY3" fmla="*/ 1307087 h 1828960"/>
                  <a:gd name="connsiteX4" fmla="*/ 814132 w 909383"/>
                  <a:gd name="connsiteY4" fmla="*/ 689162 h 1828960"/>
                  <a:gd name="connsiteX5" fmla="*/ 892574 w 909383"/>
                  <a:gd name="connsiteY5" fmla="*/ 285750 h 1828960"/>
                  <a:gd name="connsiteX6" fmla="*/ 713279 w 909383"/>
                  <a:gd name="connsiteY6" fmla="*/ 39221 h 1828960"/>
                  <a:gd name="connsiteX7" fmla="*/ 343485 w 909383"/>
                  <a:gd name="connsiteY7" fmla="*/ 72838 h 1828960"/>
                  <a:gd name="connsiteX8" fmla="*/ 108162 w 909383"/>
                  <a:gd name="connsiteY8" fmla="*/ 476250 h 1828960"/>
                  <a:gd name="connsiteX9" fmla="*/ 0 w 909383"/>
                  <a:gd name="connsiteY9" fmla="*/ 894020 h 182896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909383" h="1828960">
                    <a:moveTo>
                      <a:pt x="431342" y="1828960"/>
                    </a:moveTo>
                    <a:cubicBezTo>
                      <a:pt x="466367" y="1789046"/>
                      <a:pt x="540332" y="1768502"/>
                      <a:pt x="563537" y="1709217"/>
                    </a:cubicBezTo>
                    <a:cubicBezTo>
                      <a:pt x="603013" y="1622718"/>
                      <a:pt x="554518" y="1540915"/>
                      <a:pt x="561464" y="1473893"/>
                    </a:cubicBezTo>
                    <a:cubicBezTo>
                      <a:pt x="568410" y="1406871"/>
                      <a:pt x="563102" y="1437875"/>
                      <a:pt x="605213" y="1307087"/>
                    </a:cubicBezTo>
                    <a:cubicBezTo>
                      <a:pt x="647324" y="1176299"/>
                      <a:pt x="766239" y="859385"/>
                      <a:pt x="814132" y="689162"/>
                    </a:cubicBezTo>
                    <a:cubicBezTo>
                      <a:pt x="862025" y="518939"/>
                      <a:pt x="909383" y="394073"/>
                      <a:pt x="892574" y="285750"/>
                    </a:cubicBezTo>
                    <a:cubicBezTo>
                      <a:pt x="875765" y="177427"/>
                      <a:pt x="804794" y="74706"/>
                      <a:pt x="713279" y="39221"/>
                    </a:cubicBezTo>
                    <a:cubicBezTo>
                      <a:pt x="621764" y="3736"/>
                      <a:pt x="444338" y="0"/>
                      <a:pt x="343485" y="72838"/>
                    </a:cubicBezTo>
                    <a:cubicBezTo>
                      <a:pt x="242632" y="145676"/>
                      <a:pt x="165410" y="339386"/>
                      <a:pt x="108162" y="476250"/>
                    </a:cubicBezTo>
                    <a:cubicBezTo>
                      <a:pt x="50915" y="613114"/>
                      <a:pt x="55096" y="712392"/>
                      <a:pt x="0" y="894020"/>
                    </a:cubicBezTo>
                  </a:path>
                </a:pathLst>
              </a:custGeom>
              <a:ln w="1905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en-CA" sz="1100"/>
              </a:p>
            </xdr:txBody>
          </xdr:sp>
          <xdr:sp macro="" textlink="">
            <xdr:nvSpPr>
              <xdr:cNvPr id="41" name="Freeform 8"/>
              <xdr:cNvSpPr/>
            </xdr:nvSpPr>
            <xdr:spPr>
              <a:xfrm>
                <a:off x="2134720" y="2684860"/>
                <a:ext cx="1733415" cy="1756406"/>
              </a:xfrm>
              <a:custGeom>
                <a:avLst/>
                <a:gdLst>
                  <a:gd name="connsiteX0" fmla="*/ 1159809 w 1708898"/>
                  <a:gd name="connsiteY0" fmla="*/ 0 h 1774265"/>
                  <a:gd name="connsiteX1" fmla="*/ 1114986 w 1708898"/>
                  <a:gd name="connsiteY1" fmla="*/ 235324 h 1774265"/>
                  <a:gd name="connsiteX2" fmla="*/ 924486 w 1708898"/>
                  <a:gd name="connsiteY2" fmla="*/ 201706 h 1774265"/>
                  <a:gd name="connsiteX3" fmla="*/ 409015 w 1708898"/>
                  <a:gd name="connsiteY3" fmla="*/ 235324 h 1774265"/>
                  <a:gd name="connsiteX4" fmla="*/ 207309 w 1708898"/>
                  <a:gd name="connsiteY4" fmla="*/ 324971 h 1774265"/>
                  <a:gd name="connsiteX5" fmla="*/ 140074 w 1708898"/>
                  <a:gd name="connsiteY5" fmla="*/ 683559 h 1774265"/>
                  <a:gd name="connsiteX6" fmla="*/ 72839 w 1708898"/>
                  <a:gd name="connsiteY6" fmla="*/ 1311088 h 1774265"/>
                  <a:gd name="connsiteX7" fmla="*/ 28015 w 1708898"/>
                  <a:gd name="connsiteY7" fmla="*/ 1714500 h 1774265"/>
                  <a:gd name="connsiteX8" fmla="*/ 240927 w 1708898"/>
                  <a:gd name="connsiteY8" fmla="*/ 1669676 h 1774265"/>
                  <a:gd name="connsiteX9" fmla="*/ 352986 w 1708898"/>
                  <a:gd name="connsiteY9" fmla="*/ 1333500 h 1774265"/>
                  <a:gd name="connsiteX10" fmla="*/ 476251 w 1708898"/>
                  <a:gd name="connsiteY10" fmla="*/ 806824 h 1774265"/>
                  <a:gd name="connsiteX11" fmla="*/ 431427 w 1708898"/>
                  <a:gd name="connsiteY11" fmla="*/ 616324 h 1774265"/>
                  <a:gd name="connsiteX12" fmla="*/ 476251 w 1708898"/>
                  <a:gd name="connsiteY12" fmla="*/ 560294 h 1774265"/>
                  <a:gd name="connsiteX13" fmla="*/ 913280 w 1708898"/>
                  <a:gd name="connsiteY13" fmla="*/ 683559 h 1774265"/>
                  <a:gd name="connsiteX14" fmla="*/ 1215839 w 1708898"/>
                  <a:gd name="connsiteY14" fmla="*/ 717176 h 1774265"/>
                  <a:gd name="connsiteX15" fmla="*/ 1608045 w 1708898"/>
                  <a:gd name="connsiteY15" fmla="*/ 773206 h 1774265"/>
                  <a:gd name="connsiteX16" fmla="*/ 1708898 w 1708898"/>
                  <a:gd name="connsiteY16" fmla="*/ 739588 h 1774265"/>
                  <a:gd name="connsiteX0" fmla="*/ 1183535 w 1708898"/>
                  <a:gd name="connsiteY0" fmla="*/ 0 h 1756406"/>
                  <a:gd name="connsiteX1" fmla="*/ 1114986 w 1708898"/>
                  <a:gd name="connsiteY1" fmla="*/ 217465 h 1756406"/>
                  <a:gd name="connsiteX2" fmla="*/ 924486 w 1708898"/>
                  <a:gd name="connsiteY2" fmla="*/ 183847 h 1756406"/>
                  <a:gd name="connsiteX3" fmla="*/ 409015 w 1708898"/>
                  <a:gd name="connsiteY3" fmla="*/ 217465 h 1756406"/>
                  <a:gd name="connsiteX4" fmla="*/ 207309 w 1708898"/>
                  <a:gd name="connsiteY4" fmla="*/ 307112 h 1756406"/>
                  <a:gd name="connsiteX5" fmla="*/ 140074 w 1708898"/>
                  <a:gd name="connsiteY5" fmla="*/ 665700 h 1756406"/>
                  <a:gd name="connsiteX6" fmla="*/ 72839 w 1708898"/>
                  <a:gd name="connsiteY6" fmla="*/ 1293229 h 1756406"/>
                  <a:gd name="connsiteX7" fmla="*/ 28015 w 1708898"/>
                  <a:gd name="connsiteY7" fmla="*/ 1696641 h 1756406"/>
                  <a:gd name="connsiteX8" fmla="*/ 240927 w 1708898"/>
                  <a:gd name="connsiteY8" fmla="*/ 1651817 h 1756406"/>
                  <a:gd name="connsiteX9" fmla="*/ 352986 w 1708898"/>
                  <a:gd name="connsiteY9" fmla="*/ 1315641 h 1756406"/>
                  <a:gd name="connsiteX10" fmla="*/ 476251 w 1708898"/>
                  <a:gd name="connsiteY10" fmla="*/ 788965 h 1756406"/>
                  <a:gd name="connsiteX11" fmla="*/ 431427 w 1708898"/>
                  <a:gd name="connsiteY11" fmla="*/ 598465 h 1756406"/>
                  <a:gd name="connsiteX12" fmla="*/ 476251 w 1708898"/>
                  <a:gd name="connsiteY12" fmla="*/ 542435 h 1756406"/>
                  <a:gd name="connsiteX13" fmla="*/ 913280 w 1708898"/>
                  <a:gd name="connsiteY13" fmla="*/ 665700 h 1756406"/>
                  <a:gd name="connsiteX14" fmla="*/ 1215839 w 1708898"/>
                  <a:gd name="connsiteY14" fmla="*/ 699317 h 1756406"/>
                  <a:gd name="connsiteX15" fmla="*/ 1608045 w 1708898"/>
                  <a:gd name="connsiteY15" fmla="*/ 755347 h 1756406"/>
                  <a:gd name="connsiteX16" fmla="*/ 1708898 w 1708898"/>
                  <a:gd name="connsiteY16" fmla="*/ 721729 h 1756406"/>
                  <a:gd name="connsiteX0" fmla="*/ 1183535 w 1708898"/>
                  <a:gd name="connsiteY0" fmla="*/ 0 h 1756406"/>
                  <a:gd name="connsiteX1" fmla="*/ 1114986 w 1708898"/>
                  <a:gd name="connsiteY1" fmla="*/ 217465 h 1756406"/>
                  <a:gd name="connsiteX2" fmla="*/ 924486 w 1708898"/>
                  <a:gd name="connsiteY2" fmla="*/ 183847 h 1756406"/>
                  <a:gd name="connsiteX3" fmla="*/ 409015 w 1708898"/>
                  <a:gd name="connsiteY3" fmla="*/ 217465 h 1756406"/>
                  <a:gd name="connsiteX4" fmla="*/ 207309 w 1708898"/>
                  <a:gd name="connsiteY4" fmla="*/ 307112 h 1756406"/>
                  <a:gd name="connsiteX5" fmla="*/ 140074 w 1708898"/>
                  <a:gd name="connsiteY5" fmla="*/ 665700 h 1756406"/>
                  <a:gd name="connsiteX6" fmla="*/ 72839 w 1708898"/>
                  <a:gd name="connsiteY6" fmla="*/ 1293229 h 1756406"/>
                  <a:gd name="connsiteX7" fmla="*/ 28015 w 1708898"/>
                  <a:gd name="connsiteY7" fmla="*/ 1696641 h 1756406"/>
                  <a:gd name="connsiteX8" fmla="*/ 240927 w 1708898"/>
                  <a:gd name="connsiteY8" fmla="*/ 1651817 h 1756406"/>
                  <a:gd name="connsiteX9" fmla="*/ 352986 w 1708898"/>
                  <a:gd name="connsiteY9" fmla="*/ 1315641 h 1756406"/>
                  <a:gd name="connsiteX10" fmla="*/ 476251 w 1708898"/>
                  <a:gd name="connsiteY10" fmla="*/ 788965 h 1756406"/>
                  <a:gd name="connsiteX11" fmla="*/ 431427 w 1708898"/>
                  <a:gd name="connsiteY11" fmla="*/ 598465 h 1756406"/>
                  <a:gd name="connsiteX12" fmla="*/ 476251 w 1708898"/>
                  <a:gd name="connsiteY12" fmla="*/ 542435 h 1756406"/>
                  <a:gd name="connsiteX13" fmla="*/ 913280 w 1708898"/>
                  <a:gd name="connsiteY13" fmla="*/ 665700 h 1756406"/>
                  <a:gd name="connsiteX14" fmla="*/ 1215839 w 1708898"/>
                  <a:gd name="connsiteY14" fmla="*/ 699317 h 1756406"/>
                  <a:gd name="connsiteX15" fmla="*/ 1616295 w 1708898"/>
                  <a:gd name="connsiteY15" fmla="*/ 722217 h 1756406"/>
                  <a:gd name="connsiteX16" fmla="*/ 1708898 w 1708898"/>
                  <a:gd name="connsiteY16" fmla="*/ 721729 h 1756406"/>
                  <a:gd name="connsiteX0" fmla="*/ 1183535 w 1708898"/>
                  <a:gd name="connsiteY0" fmla="*/ 0 h 1756406"/>
                  <a:gd name="connsiteX1" fmla="*/ 1114986 w 1708898"/>
                  <a:gd name="connsiteY1" fmla="*/ 217465 h 1756406"/>
                  <a:gd name="connsiteX2" fmla="*/ 924486 w 1708898"/>
                  <a:gd name="connsiteY2" fmla="*/ 183847 h 1756406"/>
                  <a:gd name="connsiteX3" fmla="*/ 409015 w 1708898"/>
                  <a:gd name="connsiteY3" fmla="*/ 217465 h 1756406"/>
                  <a:gd name="connsiteX4" fmla="*/ 207309 w 1708898"/>
                  <a:gd name="connsiteY4" fmla="*/ 307112 h 1756406"/>
                  <a:gd name="connsiteX5" fmla="*/ 140074 w 1708898"/>
                  <a:gd name="connsiteY5" fmla="*/ 665700 h 1756406"/>
                  <a:gd name="connsiteX6" fmla="*/ 72839 w 1708898"/>
                  <a:gd name="connsiteY6" fmla="*/ 1293229 h 1756406"/>
                  <a:gd name="connsiteX7" fmla="*/ 28015 w 1708898"/>
                  <a:gd name="connsiteY7" fmla="*/ 1696641 h 1756406"/>
                  <a:gd name="connsiteX8" fmla="*/ 240927 w 1708898"/>
                  <a:gd name="connsiteY8" fmla="*/ 1651817 h 1756406"/>
                  <a:gd name="connsiteX9" fmla="*/ 352986 w 1708898"/>
                  <a:gd name="connsiteY9" fmla="*/ 1315641 h 1756406"/>
                  <a:gd name="connsiteX10" fmla="*/ 476251 w 1708898"/>
                  <a:gd name="connsiteY10" fmla="*/ 788965 h 1756406"/>
                  <a:gd name="connsiteX11" fmla="*/ 431427 w 1708898"/>
                  <a:gd name="connsiteY11" fmla="*/ 598465 h 1756406"/>
                  <a:gd name="connsiteX12" fmla="*/ 476251 w 1708898"/>
                  <a:gd name="connsiteY12" fmla="*/ 542435 h 1756406"/>
                  <a:gd name="connsiteX13" fmla="*/ 913280 w 1708898"/>
                  <a:gd name="connsiteY13" fmla="*/ 665700 h 1756406"/>
                  <a:gd name="connsiteX14" fmla="*/ 1257094 w 1708898"/>
                  <a:gd name="connsiteY14" fmla="*/ 674470 h 1756406"/>
                  <a:gd name="connsiteX15" fmla="*/ 1616295 w 1708898"/>
                  <a:gd name="connsiteY15" fmla="*/ 722217 h 1756406"/>
                  <a:gd name="connsiteX16" fmla="*/ 1708898 w 1708898"/>
                  <a:gd name="connsiteY16" fmla="*/ 721729 h 1756406"/>
                  <a:gd name="connsiteX0" fmla="*/ 1183535 w 1708898"/>
                  <a:gd name="connsiteY0" fmla="*/ 0 h 1756406"/>
                  <a:gd name="connsiteX1" fmla="*/ 1114986 w 1708898"/>
                  <a:gd name="connsiteY1" fmla="*/ 217465 h 1756406"/>
                  <a:gd name="connsiteX2" fmla="*/ 924486 w 1708898"/>
                  <a:gd name="connsiteY2" fmla="*/ 183847 h 1756406"/>
                  <a:gd name="connsiteX3" fmla="*/ 409015 w 1708898"/>
                  <a:gd name="connsiteY3" fmla="*/ 217465 h 1756406"/>
                  <a:gd name="connsiteX4" fmla="*/ 207309 w 1708898"/>
                  <a:gd name="connsiteY4" fmla="*/ 307112 h 1756406"/>
                  <a:gd name="connsiteX5" fmla="*/ 140074 w 1708898"/>
                  <a:gd name="connsiteY5" fmla="*/ 665700 h 1756406"/>
                  <a:gd name="connsiteX6" fmla="*/ 72839 w 1708898"/>
                  <a:gd name="connsiteY6" fmla="*/ 1293229 h 1756406"/>
                  <a:gd name="connsiteX7" fmla="*/ 28015 w 1708898"/>
                  <a:gd name="connsiteY7" fmla="*/ 1696641 h 1756406"/>
                  <a:gd name="connsiteX8" fmla="*/ 240927 w 1708898"/>
                  <a:gd name="connsiteY8" fmla="*/ 1651817 h 1756406"/>
                  <a:gd name="connsiteX9" fmla="*/ 352986 w 1708898"/>
                  <a:gd name="connsiteY9" fmla="*/ 1315641 h 1756406"/>
                  <a:gd name="connsiteX10" fmla="*/ 476251 w 1708898"/>
                  <a:gd name="connsiteY10" fmla="*/ 788965 h 1756406"/>
                  <a:gd name="connsiteX11" fmla="*/ 431427 w 1708898"/>
                  <a:gd name="connsiteY11" fmla="*/ 598465 h 1756406"/>
                  <a:gd name="connsiteX12" fmla="*/ 476251 w 1708898"/>
                  <a:gd name="connsiteY12" fmla="*/ 542435 h 1756406"/>
                  <a:gd name="connsiteX13" fmla="*/ 913280 w 1708898"/>
                  <a:gd name="connsiteY13" fmla="*/ 665700 h 1756406"/>
                  <a:gd name="connsiteX14" fmla="*/ 1257094 w 1708898"/>
                  <a:gd name="connsiteY14" fmla="*/ 674470 h 1756406"/>
                  <a:gd name="connsiteX15" fmla="*/ 1616295 w 1708898"/>
                  <a:gd name="connsiteY15" fmla="*/ 722217 h 1756406"/>
                  <a:gd name="connsiteX16" fmla="*/ 1659563 w 1708898"/>
                  <a:gd name="connsiteY16" fmla="*/ 669597 h 1756406"/>
                  <a:gd name="connsiteX17" fmla="*/ 1708898 w 1708898"/>
                  <a:gd name="connsiteY17" fmla="*/ 721729 h 1756406"/>
                  <a:gd name="connsiteX0" fmla="*/ 1183535 w 1708898"/>
                  <a:gd name="connsiteY0" fmla="*/ 0 h 1756406"/>
                  <a:gd name="connsiteX1" fmla="*/ 1114986 w 1708898"/>
                  <a:gd name="connsiteY1" fmla="*/ 217465 h 1756406"/>
                  <a:gd name="connsiteX2" fmla="*/ 924486 w 1708898"/>
                  <a:gd name="connsiteY2" fmla="*/ 183847 h 1756406"/>
                  <a:gd name="connsiteX3" fmla="*/ 409015 w 1708898"/>
                  <a:gd name="connsiteY3" fmla="*/ 217465 h 1756406"/>
                  <a:gd name="connsiteX4" fmla="*/ 207309 w 1708898"/>
                  <a:gd name="connsiteY4" fmla="*/ 307112 h 1756406"/>
                  <a:gd name="connsiteX5" fmla="*/ 140074 w 1708898"/>
                  <a:gd name="connsiteY5" fmla="*/ 665700 h 1756406"/>
                  <a:gd name="connsiteX6" fmla="*/ 72839 w 1708898"/>
                  <a:gd name="connsiteY6" fmla="*/ 1293229 h 1756406"/>
                  <a:gd name="connsiteX7" fmla="*/ 28015 w 1708898"/>
                  <a:gd name="connsiteY7" fmla="*/ 1696641 h 1756406"/>
                  <a:gd name="connsiteX8" fmla="*/ 240927 w 1708898"/>
                  <a:gd name="connsiteY8" fmla="*/ 1651817 h 1756406"/>
                  <a:gd name="connsiteX9" fmla="*/ 352986 w 1708898"/>
                  <a:gd name="connsiteY9" fmla="*/ 1315641 h 1756406"/>
                  <a:gd name="connsiteX10" fmla="*/ 476251 w 1708898"/>
                  <a:gd name="connsiteY10" fmla="*/ 788965 h 1756406"/>
                  <a:gd name="connsiteX11" fmla="*/ 431427 w 1708898"/>
                  <a:gd name="connsiteY11" fmla="*/ 598465 h 1756406"/>
                  <a:gd name="connsiteX12" fmla="*/ 476251 w 1708898"/>
                  <a:gd name="connsiteY12" fmla="*/ 542435 h 1756406"/>
                  <a:gd name="connsiteX13" fmla="*/ 913280 w 1708898"/>
                  <a:gd name="connsiteY13" fmla="*/ 665700 h 1756406"/>
                  <a:gd name="connsiteX14" fmla="*/ 1257094 w 1708898"/>
                  <a:gd name="connsiteY14" fmla="*/ 674470 h 1756406"/>
                  <a:gd name="connsiteX15" fmla="*/ 1599793 w 1708898"/>
                  <a:gd name="connsiteY15" fmla="*/ 672522 h 1756406"/>
                  <a:gd name="connsiteX16" fmla="*/ 1659563 w 1708898"/>
                  <a:gd name="connsiteY16" fmla="*/ 669597 h 1756406"/>
                  <a:gd name="connsiteX17" fmla="*/ 1708898 w 1708898"/>
                  <a:gd name="connsiteY17" fmla="*/ 721729 h 1756406"/>
                  <a:gd name="connsiteX0" fmla="*/ 1183535 w 1717148"/>
                  <a:gd name="connsiteY0" fmla="*/ 0 h 1756406"/>
                  <a:gd name="connsiteX1" fmla="*/ 1114986 w 1717148"/>
                  <a:gd name="connsiteY1" fmla="*/ 217465 h 1756406"/>
                  <a:gd name="connsiteX2" fmla="*/ 924486 w 1717148"/>
                  <a:gd name="connsiteY2" fmla="*/ 183847 h 1756406"/>
                  <a:gd name="connsiteX3" fmla="*/ 409015 w 1717148"/>
                  <a:gd name="connsiteY3" fmla="*/ 217465 h 1756406"/>
                  <a:gd name="connsiteX4" fmla="*/ 207309 w 1717148"/>
                  <a:gd name="connsiteY4" fmla="*/ 307112 h 1756406"/>
                  <a:gd name="connsiteX5" fmla="*/ 140074 w 1717148"/>
                  <a:gd name="connsiteY5" fmla="*/ 665700 h 1756406"/>
                  <a:gd name="connsiteX6" fmla="*/ 72839 w 1717148"/>
                  <a:gd name="connsiteY6" fmla="*/ 1293229 h 1756406"/>
                  <a:gd name="connsiteX7" fmla="*/ 28015 w 1717148"/>
                  <a:gd name="connsiteY7" fmla="*/ 1696641 h 1756406"/>
                  <a:gd name="connsiteX8" fmla="*/ 240927 w 1717148"/>
                  <a:gd name="connsiteY8" fmla="*/ 1651817 h 1756406"/>
                  <a:gd name="connsiteX9" fmla="*/ 352986 w 1717148"/>
                  <a:gd name="connsiteY9" fmla="*/ 1315641 h 1756406"/>
                  <a:gd name="connsiteX10" fmla="*/ 476251 w 1717148"/>
                  <a:gd name="connsiteY10" fmla="*/ 788965 h 1756406"/>
                  <a:gd name="connsiteX11" fmla="*/ 431427 w 1717148"/>
                  <a:gd name="connsiteY11" fmla="*/ 598465 h 1756406"/>
                  <a:gd name="connsiteX12" fmla="*/ 476251 w 1717148"/>
                  <a:gd name="connsiteY12" fmla="*/ 542435 h 1756406"/>
                  <a:gd name="connsiteX13" fmla="*/ 913280 w 1717148"/>
                  <a:gd name="connsiteY13" fmla="*/ 665700 h 1756406"/>
                  <a:gd name="connsiteX14" fmla="*/ 1257094 w 1717148"/>
                  <a:gd name="connsiteY14" fmla="*/ 674470 h 1756406"/>
                  <a:gd name="connsiteX15" fmla="*/ 1599793 w 1717148"/>
                  <a:gd name="connsiteY15" fmla="*/ 672522 h 1756406"/>
                  <a:gd name="connsiteX16" fmla="*/ 1659563 w 1717148"/>
                  <a:gd name="connsiteY16" fmla="*/ 669597 h 1756406"/>
                  <a:gd name="connsiteX17" fmla="*/ 1717148 w 1717148"/>
                  <a:gd name="connsiteY17" fmla="*/ 663751 h 1756406"/>
                  <a:gd name="connsiteX0" fmla="*/ 1183535 w 1733414"/>
                  <a:gd name="connsiteY0" fmla="*/ 0 h 1756406"/>
                  <a:gd name="connsiteX1" fmla="*/ 1114986 w 1733414"/>
                  <a:gd name="connsiteY1" fmla="*/ 217465 h 1756406"/>
                  <a:gd name="connsiteX2" fmla="*/ 924486 w 1733414"/>
                  <a:gd name="connsiteY2" fmla="*/ 183847 h 1756406"/>
                  <a:gd name="connsiteX3" fmla="*/ 409015 w 1733414"/>
                  <a:gd name="connsiteY3" fmla="*/ 217465 h 1756406"/>
                  <a:gd name="connsiteX4" fmla="*/ 207309 w 1733414"/>
                  <a:gd name="connsiteY4" fmla="*/ 307112 h 1756406"/>
                  <a:gd name="connsiteX5" fmla="*/ 140074 w 1733414"/>
                  <a:gd name="connsiteY5" fmla="*/ 665700 h 1756406"/>
                  <a:gd name="connsiteX6" fmla="*/ 72839 w 1733414"/>
                  <a:gd name="connsiteY6" fmla="*/ 1293229 h 1756406"/>
                  <a:gd name="connsiteX7" fmla="*/ 28015 w 1733414"/>
                  <a:gd name="connsiteY7" fmla="*/ 1696641 h 1756406"/>
                  <a:gd name="connsiteX8" fmla="*/ 240927 w 1733414"/>
                  <a:gd name="connsiteY8" fmla="*/ 1651817 h 1756406"/>
                  <a:gd name="connsiteX9" fmla="*/ 352986 w 1733414"/>
                  <a:gd name="connsiteY9" fmla="*/ 1315641 h 1756406"/>
                  <a:gd name="connsiteX10" fmla="*/ 476251 w 1733414"/>
                  <a:gd name="connsiteY10" fmla="*/ 788965 h 1756406"/>
                  <a:gd name="connsiteX11" fmla="*/ 431427 w 1733414"/>
                  <a:gd name="connsiteY11" fmla="*/ 598465 h 1756406"/>
                  <a:gd name="connsiteX12" fmla="*/ 476251 w 1733414"/>
                  <a:gd name="connsiteY12" fmla="*/ 542435 h 1756406"/>
                  <a:gd name="connsiteX13" fmla="*/ 913280 w 1733414"/>
                  <a:gd name="connsiteY13" fmla="*/ 665700 h 1756406"/>
                  <a:gd name="connsiteX14" fmla="*/ 1257094 w 1733414"/>
                  <a:gd name="connsiteY14" fmla="*/ 674470 h 1756406"/>
                  <a:gd name="connsiteX15" fmla="*/ 1599793 w 1733414"/>
                  <a:gd name="connsiteY15" fmla="*/ 672522 h 1756406"/>
                  <a:gd name="connsiteX16" fmla="*/ 1659563 w 1733414"/>
                  <a:gd name="connsiteY16" fmla="*/ 669597 h 1756406"/>
                  <a:gd name="connsiteX17" fmla="*/ 1733414 w 1733414"/>
                  <a:gd name="connsiteY17" fmla="*/ 663751 h 175640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Lst>
                <a:rect l="l" t="t" r="r" b="b"/>
                <a:pathLst>
                  <a:path w="1733414" h="1756406">
                    <a:moveTo>
                      <a:pt x="1183535" y="0"/>
                    </a:moveTo>
                    <a:cubicBezTo>
                      <a:pt x="1180733" y="100853"/>
                      <a:pt x="1158161" y="186824"/>
                      <a:pt x="1114986" y="217465"/>
                    </a:cubicBezTo>
                    <a:cubicBezTo>
                      <a:pt x="1071811" y="248106"/>
                      <a:pt x="1042148" y="183847"/>
                      <a:pt x="924486" y="183847"/>
                    </a:cubicBezTo>
                    <a:cubicBezTo>
                      <a:pt x="806824" y="183847"/>
                      <a:pt x="528544" y="196921"/>
                      <a:pt x="409015" y="217465"/>
                    </a:cubicBezTo>
                    <a:cubicBezTo>
                      <a:pt x="289486" y="238009"/>
                      <a:pt x="252133" y="232406"/>
                      <a:pt x="207309" y="307112"/>
                    </a:cubicBezTo>
                    <a:cubicBezTo>
                      <a:pt x="162486" y="381818"/>
                      <a:pt x="162486" y="501347"/>
                      <a:pt x="140074" y="665700"/>
                    </a:cubicBezTo>
                    <a:cubicBezTo>
                      <a:pt x="117662" y="830053"/>
                      <a:pt x="91515" y="1121406"/>
                      <a:pt x="72839" y="1293229"/>
                    </a:cubicBezTo>
                    <a:cubicBezTo>
                      <a:pt x="54163" y="1465052"/>
                      <a:pt x="0" y="1636876"/>
                      <a:pt x="28015" y="1696641"/>
                    </a:cubicBezTo>
                    <a:cubicBezTo>
                      <a:pt x="56030" y="1756406"/>
                      <a:pt x="186765" y="1715317"/>
                      <a:pt x="240927" y="1651817"/>
                    </a:cubicBezTo>
                    <a:cubicBezTo>
                      <a:pt x="295089" y="1588317"/>
                      <a:pt x="313765" y="1459450"/>
                      <a:pt x="352986" y="1315641"/>
                    </a:cubicBezTo>
                    <a:cubicBezTo>
                      <a:pt x="392207" y="1171832"/>
                      <a:pt x="463178" y="908494"/>
                      <a:pt x="476251" y="788965"/>
                    </a:cubicBezTo>
                    <a:cubicBezTo>
                      <a:pt x="489324" y="669436"/>
                      <a:pt x="431427" y="639553"/>
                      <a:pt x="431427" y="598465"/>
                    </a:cubicBezTo>
                    <a:cubicBezTo>
                      <a:pt x="431427" y="557377"/>
                      <a:pt x="395942" y="531229"/>
                      <a:pt x="476251" y="542435"/>
                    </a:cubicBezTo>
                    <a:cubicBezTo>
                      <a:pt x="556560" y="553641"/>
                      <a:pt x="783140" y="643694"/>
                      <a:pt x="913280" y="665700"/>
                    </a:cubicBezTo>
                    <a:cubicBezTo>
                      <a:pt x="1043421" y="687706"/>
                      <a:pt x="1142675" y="673333"/>
                      <a:pt x="1257094" y="674470"/>
                    </a:cubicBezTo>
                    <a:lnTo>
                      <a:pt x="1599793" y="672522"/>
                    </a:lnTo>
                    <a:cubicBezTo>
                      <a:pt x="1666871" y="671710"/>
                      <a:pt x="1637293" y="671059"/>
                      <a:pt x="1659563" y="669597"/>
                    </a:cubicBezTo>
                    <a:cubicBezTo>
                      <a:pt x="1681833" y="668135"/>
                      <a:pt x="1719691" y="664725"/>
                      <a:pt x="1733414" y="663751"/>
                    </a:cubicBezTo>
                  </a:path>
                </a:pathLst>
              </a:custGeom>
              <a:ln w="1905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en-CA" sz="1100"/>
              </a:p>
            </xdr:txBody>
          </xdr:sp>
          <xdr:cxnSp macro="">
            <xdr:nvCxnSpPr>
              <xdr:cNvPr id="42" name="Straight Connector 9"/>
              <xdr:cNvCxnSpPr/>
            </xdr:nvCxnSpPr>
            <xdr:spPr>
              <a:xfrm rot="5400000" flipH="1" flipV="1">
                <a:off x="3827159" y="1398985"/>
                <a:ext cx="226218" cy="47625"/>
              </a:xfrm>
              <a:prstGeom prst="line">
                <a:avLst/>
              </a:prstGeom>
              <a:ln w="1905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3" name="Straight Connector 10"/>
              <xdr:cNvCxnSpPr>
                <a:stCxn id="40" idx="6"/>
                <a:endCxn id="38" idx="1"/>
              </xdr:cNvCxnSpPr>
            </xdr:nvCxnSpPr>
            <xdr:spPr>
              <a:xfrm flipV="1">
                <a:off x="4146244" y="1288915"/>
                <a:ext cx="15457" cy="268703"/>
              </a:xfrm>
              <a:prstGeom prst="line">
                <a:avLst/>
              </a:prstGeom>
              <a:ln w="1905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44" name="Freeform 11"/>
              <xdr:cNvSpPr/>
            </xdr:nvSpPr>
            <xdr:spPr>
              <a:xfrm>
                <a:off x="1647265" y="4308231"/>
                <a:ext cx="784197" cy="343144"/>
              </a:xfrm>
              <a:custGeom>
                <a:avLst/>
                <a:gdLst>
                  <a:gd name="connsiteX0" fmla="*/ 643548 w 889000"/>
                  <a:gd name="connsiteY0" fmla="*/ 87923 h 343144"/>
                  <a:gd name="connsiteX1" fmla="*/ 299183 w 889000"/>
                  <a:gd name="connsiteY1" fmla="*/ 109904 h 343144"/>
                  <a:gd name="connsiteX2" fmla="*/ 50067 w 889000"/>
                  <a:gd name="connsiteY2" fmla="*/ 241788 h 343144"/>
                  <a:gd name="connsiteX3" fmla="*/ 79375 w 889000"/>
                  <a:gd name="connsiteY3" fmla="*/ 300404 h 343144"/>
                  <a:gd name="connsiteX4" fmla="*/ 526317 w 889000"/>
                  <a:gd name="connsiteY4" fmla="*/ 307731 h 343144"/>
                  <a:gd name="connsiteX5" fmla="*/ 621567 w 889000"/>
                  <a:gd name="connsiteY5" fmla="*/ 278423 h 343144"/>
                  <a:gd name="connsiteX6" fmla="*/ 687509 w 889000"/>
                  <a:gd name="connsiteY6" fmla="*/ 300404 h 343144"/>
                  <a:gd name="connsiteX7" fmla="*/ 856029 w 889000"/>
                  <a:gd name="connsiteY7" fmla="*/ 307731 h 343144"/>
                  <a:gd name="connsiteX8" fmla="*/ 885336 w 889000"/>
                  <a:gd name="connsiteY8" fmla="*/ 87923 h 343144"/>
                  <a:gd name="connsiteX9" fmla="*/ 856029 w 889000"/>
                  <a:gd name="connsiteY9" fmla="*/ 0 h 34314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889000" h="343144">
                    <a:moveTo>
                      <a:pt x="643548" y="87923"/>
                    </a:moveTo>
                    <a:cubicBezTo>
                      <a:pt x="520822" y="86091"/>
                      <a:pt x="398096" y="84260"/>
                      <a:pt x="299183" y="109904"/>
                    </a:cubicBezTo>
                    <a:cubicBezTo>
                      <a:pt x="200270" y="135548"/>
                      <a:pt x="86702" y="210038"/>
                      <a:pt x="50067" y="241788"/>
                    </a:cubicBezTo>
                    <a:cubicBezTo>
                      <a:pt x="13432" y="273538"/>
                      <a:pt x="0" y="289414"/>
                      <a:pt x="79375" y="300404"/>
                    </a:cubicBezTo>
                    <a:cubicBezTo>
                      <a:pt x="158750" y="311394"/>
                      <a:pt x="435952" y="311394"/>
                      <a:pt x="526317" y="307731"/>
                    </a:cubicBezTo>
                    <a:cubicBezTo>
                      <a:pt x="616682" y="304068"/>
                      <a:pt x="594702" y="279644"/>
                      <a:pt x="621567" y="278423"/>
                    </a:cubicBezTo>
                    <a:cubicBezTo>
                      <a:pt x="648432" y="277202"/>
                      <a:pt x="648432" y="295519"/>
                      <a:pt x="687509" y="300404"/>
                    </a:cubicBezTo>
                    <a:cubicBezTo>
                      <a:pt x="726586" y="305289"/>
                      <a:pt x="823058" y="343144"/>
                      <a:pt x="856029" y="307731"/>
                    </a:cubicBezTo>
                    <a:cubicBezTo>
                      <a:pt x="889000" y="272318"/>
                      <a:pt x="885336" y="139211"/>
                      <a:pt x="885336" y="87923"/>
                    </a:cubicBezTo>
                    <a:cubicBezTo>
                      <a:pt x="885336" y="36635"/>
                      <a:pt x="870682" y="18317"/>
                      <a:pt x="856029" y="0"/>
                    </a:cubicBezTo>
                  </a:path>
                </a:pathLst>
              </a:custGeom>
              <a:ln w="1905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en-CA" sz="1100"/>
              </a:p>
            </xdr:txBody>
          </xdr:sp>
        </xdr:grpSp>
        <xdr:cxnSp macro="">
          <xdr:nvCxnSpPr>
            <xdr:cNvPr id="36" name="Straight Connector 35"/>
            <xdr:cNvCxnSpPr/>
          </xdr:nvCxnSpPr>
          <xdr:spPr>
            <a:xfrm rot="5400000" flipH="1" flipV="1">
              <a:off x="2275438" y="2362594"/>
              <a:ext cx="2277717" cy="564388"/>
            </a:xfrm>
            <a:prstGeom prst="line">
              <a:avLst/>
            </a:prstGeom>
            <a:ln>
              <a:solidFill>
                <a:schemeClr val="bg1">
                  <a:lumMod val="75000"/>
                </a:schemeClr>
              </a:solidFill>
              <a:prstDash val="lgDashDot"/>
            </a:ln>
          </xdr:spPr>
          <xdr:style>
            <a:lnRef idx="1">
              <a:schemeClr val="accent1"/>
            </a:lnRef>
            <a:fillRef idx="0">
              <a:schemeClr val="accent1"/>
            </a:fillRef>
            <a:effectRef idx="0">
              <a:schemeClr val="accent1"/>
            </a:effectRef>
            <a:fontRef idx="minor">
              <a:schemeClr val="tx1"/>
            </a:fontRef>
          </xdr:style>
        </xdr:cxnSp>
        <xdr:cxnSp macro="">
          <xdr:nvCxnSpPr>
            <xdr:cNvPr id="37" name="Straight Arrow Connector 36"/>
            <xdr:cNvCxnSpPr/>
          </xdr:nvCxnSpPr>
          <xdr:spPr>
            <a:xfrm rot="5400000" flipH="1" flipV="1">
              <a:off x="3619500" y="4191000"/>
              <a:ext cx="762000"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grpSp>
      <xdr:cxnSp macro="">
        <xdr:nvCxnSpPr>
          <xdr:cNvPr id="6" name="Straight Arrow Connector 5"/>
          <xdr:cNvCxnSpPr/>
        </xdr:nvCxnSpPr>
        <xdr:spPr>
          <a:xfrm>
            <a:off x="3810000" y="4548188"/>
            <a:ext cx="762000"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xnSp macro="">
        <xdr:nvCxnSpPr>
          <xdr:cNvPr id="7" name="Straight Arrow Connector 6"/>
          <xdr:cNvCxnSpPr/>
        </xdr:nvCxnSpPr>
        <xdr:spPr>
          <a:xfrm rot="5400000" flipH="1" flipV="1">
            <a:off x="4486604" y="4462792"/>
            <a:ext cx="1313793"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grpSp>
        <xdr:nvGrpSpPr>
          <xdr:cNvPr id="9" name="Group 27"/>
          <xdr:cNvGrpSpPr/>
        </xdr:nvGrpSpPr>
        <xdr:grpSpPr>
          <a:xfrm>
            <a:off x="6869991" y="929482"/>
            <a:ext cx="2198075" cy="4598419"/>
            <a:chOff x="6887309" y="762794"/>
            <a:chExt cx="2198075" cy="4598419"/>
          </a:xfrm>
        </xdr:grpSpPr>
        <xdr:grpSp>
          <xdr:nvGrpSpPr>
            <xdr:cNvPr id="19" name="Group 12"/>
            <xdr:cNvGrpSpPr/>
          </xdr:nvGrpSpPr>
          <xdr:grpSpPr>
            <a:xfrm>
              <a:off x="7170897" y="993098"/>
              <a:ext cx="1692606" cy="3987766"/>
              <a:chOff x="1828427" y="5541309"/>
              <a:chExt cx="1611031" cy="3903382"/>
            </a:xfrm>
          </xdr:grpSpPr>
          <xdr:sp macro="" textlink="">
            <xdr:nvSpPr>
              <xdr:cNvPr id="22" name="Freeform 21"/>
              <xdr:cNvSpPr/>
            </xdr:nvSpPr>
            <xdr:spPr>
              <a:xfrm>
                <a:off x="2160867" y="6366808"/>
                <a:ext cx="347383" cy="1040279"/>
              </a:xfrm>
              <a:custGeom>
                <a:avLst/>
                <a:gdLst>
                  <a:gd name="connsiteX0" fmla="*/ 282015 w 282015"/>
                  <a:gd name="connsiteY0" fmla="*/ 7471 h 1027206"/>
                  <a:gd name="connsiteX1" fmla="*/ 91515 w 282015"/>
                  <a:gd name="connsiteY1" fmla="*/ 63500 h 1027206"/>
                  <a:gd name="connsiteX2" fmla="*/ 1868 w 282015"/>
                  <a:gd name="connsiteY2" fmla="*/ 388471 h 1027206"/>
                  <a:gd name="connsiteX3" fmla="*/ 80309 w 282015"/>
                  <a:gd name="connsiteY3" fmla="*/ 903942 h 1027206"/>
                  <a:gd name="connsiteX4" fmla="*/ 1868 w 282015"/>
                  <a:gd name="connsiteY4" fmla="*/ 1027206 h 1027206"/>
                  <a:gd name="connsiteX0" fmla="*/ 282015 w 347383"/>
                  <a:gd name="connsiteY0" fmla="*/ 20544 h 1040279"/>
                  <a:gd name="connsiteX1" fmla="*/ 315633 w 347383"/>
                  <a:gd name="connsiteY1" fmla="*/ 9338 h 1040279"/>
                  <a:gd name="connsiteX2" fmla="*/ 91515 w 347383"/>
                  <a:gd name="connsiteY2" fmla="*/ 76573 h 1040279"/>
                  <a:gd name="connsiteX3" fmla="*/ 1868 w 347383"/>
                  <a:gd name="connsiteY3" fmla="*/ 401544 h 1040279"/>
                  <a:gd name="connsiteX4" fmla="*/ 80309 w 347383"/>
                  <a:gd name="connsiteY4" fmla="*/ 917015 h 1040279"/>
                  <a:gd name="connsiteX5" fmla="*/ 1868 w 347383"/>
                  <a:gd name="connsiteY5" fmla="*/ 1040279 h 104027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47383" h="1040279">
                    <a:moveTo>
                      <a:pt x="282015" y="20544"/>
                    </a:moveTo>
                    <a:cubicBezTo>
                      <a:pt x="280147" y="16809"/>
                      <a:pt x="347383" y="0"/>
                      <a:pt x="315633" y="9338"/>
                    </a:cubicBezTo>
                    <a:cubicBezTo>
                      <a:pt x="283883" y="18676"/>
                      <a:pt x="143809" y="11205"/>
                      <a:pt x="91515" y="76573"/>
                    </a:cubicBezTo>
                    <a:cubicBezTo>
                      <a:pt x="39221" y="141941"/>
                      <a:pt x="3736" y="261470"/>
                      <a:pt x="1868" y="401544"/>
                    </a:cubicBezTo>
                    <a:cubicBezTo>
                      <a:pt x="0" y="541618"/>
                      <a:pt x="80309" y="810559"/>
                      <a:pt x="80309" y="917015"/>
                    </a:cubicBezTo>
                    <a:cubicBezTo>
                      <a:pt x="80309" y="1023471"/>
                      <a:pt x="41088" y="1031875"/>
                      <a:pt x="1868" y="1040279"/>
                    </a:cubicBezTo>
                  </a:path>
                </a:pathLst>
              </a:custGeom>
              <a:ln w="1905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en-CA" sz="1100"/>
              </a:p>
            </xdr:txBody>
          </xdr:sp>
          <xdr:sp macro="" textlink="">
            <xdr:nvSpPr>
              <xdr:cNvPr id="23" name="Freeform 22"/>
              <xdr:cNvSpPr/>
            </xdr:nvSpPr>
            <xdr:spPr>
              <a:xfrm>
                <a:off x="1828427" y="6475132"/>
                <a:ext cx="416484" cy="1202766"/>
              </a:xfrm>
              <a:custGeom>
                <a:avLst/>
                <a:gdLst>
                  <a:gd name="connsiteX0" fmla="*/ 390338 w 416484"/>
                  <a:gd name="connsiteY0" fmla="*/ 13074 h 1202766"/>
                  <a:gd name="connsiteX1" fmla="*/ 255867 w 416484"/>
                  <a:gd name="connsiteY1" fmla="*/ 69103 h 1202766"/>
                  <a:gd name="connsiteX2" fmla="*/ 65367 w 416484"/>
                  <a:gd name="connsiteY2" fmla="*/ 427692 h 1202766"/>
                  <a:gd name="connsiteX3" fmla="*/ 20544 w 416484"/>
                  <a:gd name="connsiteY3" fmla="*/ 887133 h 1202766"/>
                  <a:gd name="connsiteX4" fmla="*/ 188632 w 416484"/>
                  <a:gd name="connsiteY4" fmla="*/ 1088839 h 1202766"/>
                  <a:gd name="connsiteX5" fmla="*/ 233455 w 416484"/>
                  <a:gd name="connsiteY5" fmla="*/ 1189692 h 1202766"/>
                  <a:gd name="connsiteX6" fmla="*/ 334308 w 416484"/>
                  <a:gd name="connsiteY6" fmla="*/ 1167280 h 1202766"/>
                  <a:gd name="connsiteX7" fmla="*/ 412749 w 416484"/>
                  <a:gd name="connsiteY7" fmla="*/ 1077633 h 1202766"/>
                  <a:gd name="connsiteX8" fmla="*/ 356720 w 416484"/>
                  <a:gd name="connsiteY8" fmla="*/ 954368 h 1202766"/>
                  <a:gd name="connsiteX9" fmla="*/ 300691 w 416484"/>
                  <a:gd name="connsiteY9" fmla="*/ 943162 h 1202766"/>
                  <a:gd name="connsiteX10" fmla="*/ 255867 w 416484"/>
                  <a:gd name="connsiteY10" fmla="*/ 842309 h 1202766"/>
                  <a:gd name="connsiteX11" fmla="*/ 199838 w 416484"/>
                  <a:gd name="connsiteY11" fmla="*/ 763868 h 1202766"/>
                  <a:gd name="connsiteX12" fmla="*/ 278279 w 416484"/>
                  <a:gd name="connsiteY12" fmla="*/ 606986 h 1202766"/>
                  <a:gd name="connsiteX13" fmla="*/ 345514 w 416484"/>
                  <a:gd name="connsiteY13" fmla="*/ 394074 h 1202766"/>
                  <a:gd name="connsiteX14" fmla="*/ 345514 w 416484"/>
                  <a:gd name="connsiteY14" fmla="*/ 394074 h 1202766"/>
                  <a:gd name="connsiteX15" fmla="*/ 345514 w 416484"/>
                  <a:gd name="connsiteY15" fmla="*/ 394074 h 120276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Lst>
                <a:rect l="l" t="t" r="r" b="b"/>
                <a:pathLst>
                  <a:path w="416484" h="1202766">
                    <a:moveTo>
                      <a:pt x="390338" y="13074"/>
                    </a:moveTo>
                    <a:cubicBezTo>
                      <a:pt x="350183" y="6537"/>
                      <a:pt x="310029" y="0"/>
                      <a:pt x="255867" y="69103"/>
                    </a:cubicBezTo>
                    <a:cubicBezTo>
                      <a:pt x="201705" y="138206"/>
                      <a:pt x="104588" y="291354"/>
                      <a:pt x="65367" y="427692"/>
                    </a:cubicBezTo>
                    <a:cubicBezTo>
                      <a:pt x="26146" y="564030"/>
                      <a:pt x="0" y="776942"/>
                      <a:pt x="20544" y="887133"/>
                    </a:cubicBezTo>
                    <a:cubicBezTo>
                      <a:pt x="41088" y="997324"/>
                      <a:pt x="153147" y="1038412"/>
                      <a:pt x="188632" y="1088839"/>
                    </a:cubicBezTo>
                    <a:cubicBezTo>
                      <a:pt x="224117" y="1139266"/>
                      <a:pt x="209176" y="1176619"/>
                      <a:pt x="233455" y="1189692"/>
                    </a:cubicBezTo>
                    <a:cubicBezTo>
                      <a:pt x="257734" y="1202766"/>
                      <a:pt x="304426" y="1185957"/>
                      <a:pt x="334308" y="1167280"/>
                    </a:cubicBezTo>
                    <a:cubicBezTo>
                      <a:pt x="364190" y="1148604"/>
                      <a:pt x="409014" y="1113118"/>
                      <a:pt x="412749" y="1077633"/>
                    </a:cubicBezTo>
                    <a:cubicBezTo>
                      <a:pt x="416484" y="1042148"/>
                      <a:pt x="375396" y="976780"/>
                      <a:pt x="356720" y="954368"/>
                    </a:cubicBezTo>
                    <a:cubicBezTo>
                      <a:pt x="338044" y="931956"/>
                      <a:pt x="317500" y="961839"/>
                      <a:pt x="300691" y="943162"/>
                    </a:cubicBezTo>
                    <a:cubicBezTo>
                      <a:pt x="283882" y="924485"/>
                      <a:pt x="272676" y="872191"/>
                      <a:pt x="255867" y="842309"/>
                    </a:cubicBezTo>
                    <a:cubicBezTo>
                      <a:pt x="239058" y="812427"/>
                      <a:pt x="196103" y="803088"/>
                      <a:pt x="199838" y="763868"/>
                    </a:cubicBezTo>
                    <a:cubicBezTo>
                      <a:pt x="203573" y="724648"/>
                      <a:pt x="254000" y="668618"/>
                      <a:pt x="278279" y="606986"/>
                    </a:cubicBezTo>
                    <a:cubicBezTo>
                      <a:pt x="302558" y="545354"/>
                      <a:pt x="345514" y="394074"/>
                      <a:pt x="345514" y="394074"/>
                    </a:cubicBezTo>
                    <a:lnTo>
                      <a:pt x="345514" y="394074"/>
                    </a:lnTo>
                    <a:lnTo>
                      <a:pt x="345514" y="394074"/>
                    </a:lnTo>
                  </a:path>
                </a:pathLst>
              </a:custGeom>
              <a:ln w="1905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en-CA" sz="1100"/>
              </a:p>
            </xdr:txBody>
          </xdr:sp>
          <xdr:sp macro="" textlink="">
            <xdr:nvSpPr>
              <xdr:cNvPr id="24" name="Freeform 15"/>
              <xdr:cNvSpPr/>
            </xdr:nvSpPr>
            <xdr:spPr>
              <a:xfrm flipH="1">
                <a:off x="3022974" y="6493061"/>
                <a:ext cx="416484" cy="1202766"/>
              </a:xfrm>
              <a:custGeom>
                <a:avLst/>
                <a:gdLst>
                  <a:gd name="connsiteX0" fmla="*/ 390338 w 416484"/>
                  <a:gd name="connsiteY0" fmla="*/ 13074 h 1202766"/>
                  <a:gd name="connsiteX1" fmla="*/ 255867 w 416484"/>
                  <a:gd name="connsiteY1" fmla="*/ 69103 h 1202766"/>
                  <a:gd name="connsiteX2" fmla="*/ 65367 w 416484"/>
                  <a:gd name="connsiteY2" fmla="*/ 427692 h 1202766"/>
                  <a:gd name="connsiteX3" fmla="*/ 20544 w 416484"/>
                  <a:gd name="connsiteY3" fmla="*/ 887133 h 1202766"/>
                  <a:gd name="connsiteX4" fmla="*/ 188632 w 416484"/>
                  <a:gd name="connsiteY4" fmla="*/ 1088839 h 1202766"/>
                  <a:gd name="connsiteX5" fmla="*/ 233455 w 416484"/>
                  <a:gd name="connsiteY5" fmla="*/ 1189692 h 1202766"/>
                  <a:gd name="connsiteX6" fmla="*/ 334308 w 416484"/>
                  <a:gd name="connsiteY6" fmla="*/ 1167280 h 1202766"/>
                  <a:gd name="connsiteX7" fmla="*/ 412749 w 416484"/>
                  <a:gd name="connsiteY7" fmla="*/ 1077633 h 1202766"/>
                  <a:gd name="connsiteX8" fmla="*/ 356720 w 416484"/>
                  <a:gd name="connsiteY8" fmla="*/ 954368 h 1202766"/>
                  <a:gd name="connsiteX9" fmla="*/ 300691 w 416484"/>
                  <a:gd name="connsiteY9" fmla="*/ 943162 h 1202766"/>
                  <a:gd name="connsiteX10" fmla="*/ 255867 w 416484"/>
                  <a:gd name="connsiteY10" fmla="*/ 842309 h 1202766"/>
                  <a:gd name="connsiteX11" fmla="*/ 199838 w 416484"/>
                  <a:gd name="connsiteY11" fmla="*/ 763868 h 1202766"/>
                  <a:gd name="connsiteX12" fmla="*/ 278279 w 416484"/>
                  <a:gd name="connsiteY12" fmla="*/ 606986 h 1202766"/>
                  <a:gd name="connsiteX13" fmla="*/ 345514 w 416484"/>
                  <a:gd name="connsiteY13" fmla="*/ 394074 h 1202766"/>
                  <a:gd name="connsiteX14" fmla="*/ 345514 w 416484"/>
                  <a:gd name="connsiteY14" fmla="*/ 394074 h 1202766"/>
                  <a:gd name="connsiteX15" fmla="*/ 345514 w 416484"/>
                  <a:gd name="connsiteY15" fmla="*/ 394074 h 120276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Lst>
                <a:rect l="l" t="t" r="r" b="b"/>
                <a:pathLst>
                  <a:path w="416484" h="1202766">
                    <a:moveTo>
                      <a:pt x="390338" y="13074"/>
                    </a:moveTo>
                    <a:cubicBezTo>
                      <a:pt x="350183" y="6537"/>
                      <a:pt x="310029" y="0"/>
                      <a:pt x="255867" y="69103"/>
                    </a:cubicBezTo>
                    <a:cubicBezTo>
                      <a:pt x="201705" y="138206"/>
                      <a:pt x="104588" y="291354"/>
                      <a:pt x="65367" y="427692"/>
                    </a:cubicBezTo>
                    <a:cubicBezTo>
                      <a:pt x="26146" y="564030"/>
                      <a:pt x="0" y="776942"/>
                      <a:pt x="20544" y="887133"/>
                    </a:cubicBezTo>
                    <a:cubicBezTo>
                      <a:pt x="41088" y="997324"/>
                      <a:pt x="153147" y="1038412"/>
                      <a:pt x="188632" y="1088839"/>
                    </a:cubicBezTo>
                    <a:cubicBezTo>
                      <a:pt x="224117" y="1139266"/>
                      <a:pt x="209176" y="1176619"/>
                      <a:pt x="233455" y="1189692"/>
                    </a:cubicBezTo>
                    <a:cubicBezTo>
                      <a:pt x="257734" y="1202766"/>
                      <a:pt x="304426" y="1185957"/>
                      <a:pt x="334308" y="1167280"/>
                    </a:cubicBezTo>
                    <a:cubicBezTo>
                      <a:pt x="364190" y="1148604"/>
                      <a:pt x="409014" y="1113118"/>
                      <a:pt x="412749" y="1077633"/>
                    </a:cubicBezTo>
                    <a:cubicBezTo>
                      <a:pt x="416484" y="1042148"/>
                      <a:pt x="375396" y="976780"/>
                      <a:pt x="356720" y="954368"/>
                    </a:cubicBezTo>
                    <a:cubicBezTo>
                      <a:pt x="338044" y="931956"/>
                      <a:pt x="317500" y="961839"/>
                      <a:pt x="300691" y="943162"/>
                    </a:cubicBezTo>
                    <a:cubicBezTo>
                      <a:pt x="283882" y="924485"/>
                      <a:pt x="272676" y="872191"/>
                      <a:pt x="255867" y="842309"/>
                    </a:cubicBezTo>
                    <a:cubicBezTo>
                      <a:pt x="239058" y="812427"/>
                      <a:pt x="196103" y="803088"/>
                      <a:pt x="199838" y="763868"/>
                    </a:cubicBezTo>
                    <a:cubicBezTo>
                      <a:pt x="203573" y="724648"/>
                      <a:pt x="254000" y="668618"/>
                      <a:pt x="278279" y="606986"/>
                    </a:cubicBezTo>
                    <a:cubicBezTo>
                      <a:pt x="302558" y="545354"/>
                      <a:pt x="345514" y="394074"/>
                      <a:pt x="345514" y="394074"/>
                    </a:cubicBezTo>
                    <a:lnTo>
                      <a:pt x="345514" y="394074"/>
                    </a:lnTo>
                    <a:lnTo>
                      <a:pt x="345514" y="394074"/>
                    </a:lnTo>
                  </a:path>
                </a:pathLst>
              </a:custGeom>
              <a:ln w="1905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en-CA" sz="1100"/>
              </a:p>
            </xdr:txBody>
          </xdr:sp>
          <xdr:sp macro="" textlink="">
            <xdr:nvSpPr>
              <xdr:cNvPr id="25" name="Freeform 16"/>
              <xdr:cNvSpPr/>
            </xdr:nvSpPr>
            <xdr:spPr>
              <a:xfrm flipH="1">
                <a:off x="2761502" y="6379134"/>
                <a:ext cx="338045" cy="1090707"/>
              </a:xfrm>
              <a:custGeom>
                <a:avLst/>
                <a:gdLst>
                  <a:gd name="connsiteX0" fmla="*/ 282015 w 282015"/>
                  <a:gd name="connsiteY0" fmla="*/ 7471 h 1027206"/>
                  <a:gd name="connsiteX1" fmla="*/ 91515 w 282015"/>
                  <a:gd name="connsiteY1" fmla="*/ 63500 h 1027206"/>
                  <a:gd name="connsiteX2" fmla="*/ 1868 w 282015"/>
                  <a:gd name="connsiteY2" fmla="*/ 388471 h 1027206"/>
                  <a:gd name="connsiteX3" fmla="*/ 80309 w 282015"/>
                  <a:gd name="connsiteY3" fmla="*/ 903942 h 1027206"/>
                  <a:gd name="connsiteX4" fmla="*/ 1868 w 282015"/>
                  <a:gd name="connsiteY4" fmla="*/ 1027206 h 1027206"/>
                  <a:gd name="connsiteX0" fmla="*/ 282015 w 282015"/>
                  <a:gd name="connsiteY0" fmla="*/ 7471 h 1083236"/>
                  <a:gd name="connsiteX1" fmla="*/ 91515 w 282015"/>
                  <a:gd name="connsiteY1" fmla="*/ 63500 h 1083236"/>
                  <a:gd name="connsiteX2" fmla="*/ 1868 w 282015"/>
                  <a:gd name="connsiteY2" fmla="*/ 388471 h 1083236"/>
                  <a:gd name="connsiteX3" fmla="*/ 80309 w 282015"/>
                  <a:gd name="connsiteY3" fmla="*/ 903942 h 1083236"/>
                  <a:gd name="connsiteX4" fmla="*/ 13074 w 282015"/>
                  <a:gd name="connsiteY4" fmla="*/ 1083236 h 1083236"/>
                  <a:gd name="connsiteX0" fmla="*/ 338045 w 338045"/>
                  <a:gd name="connsiteY0" fmla="*/ 3736 h 1090707"/>
                  <a:gd name="connsiteX1" fmla="*/ 91515 w 338045"/>
                  <a:gd name="connsiteY1" fmla="*/ 70971 h 1090707"/>
                  <a:gd name="connsiteX2" fmla="*/ 1868 w 338045"/>
                  <a:gd name="connsiteY2" fmla="*/ 395942 h 1090707"/>
                  <a:gd name="connsiteX3" fmla="*/ 80309 w 338045"/>
                  <a:gd name="connsiteY3" fmla="*/ 911413 h 1090707"/>
                  <a:gd name="connsiteX4" fmla="*/ 13074 w 338045"/>
                  <a:gd name="connsiteY4" fmla="*/ 1090707 h 109070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38045" h="1090707">
                    <a:moveTo>
                      <a:pt x="338045" y="3736"/>
                    </a:moveTo>
                    <a:cubicBezTo>
                      <a:pt x="266140" y="0"/>
                      <a:pt x="147544" y="5603"/>
                      <a:pt x="91515" y="70971"/>
                    </a:cubicBezTo>
                    <a:cubicBezTo>
                      <a:pt x="35486" y="136339"/>
                      <a:pt x="3736" y="255868"/>
                      <a:pt x="1868" y="395942"/>
                    </a:cubicBezTo>
                    <a:cubicBezTo>
                      <a:pt x="0" y="536016"/>
                      <a:pt x="78441" y="795619"/>
                      <a:pt x="80309" y="911413"/>
                    </a:cubicBezTo>
                    <a:cubicBezTo>
                      <a:pt x="82177" y="1027207"/>
                      <a:pt x="52294" y="1082303"/>
                      <a:pt x="13074" y="1090707"/>
                    </a:cubicBezTo>
                  </a:path>
                </a:pathLst>
              </a:custGeom>
              <a:ln w="1905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en-CA" sz="1100"/>
              </a:p>
            </xdr:txBody>
          </xdr:sp>
          <xdr:sp macro="" textlink="">
            <xdr:nvSpPr>
              <xdr:cNvPr id="26" name="Freeform 17"/>
              <xdr:cNvSpPr/>
            </xdr:nvSpPr>
            <xdr:spPr>
              <a:xfrm>
                <a:off x="2465294" y="6118412"/>
                <a:ext cx="324971" cy="338044"/>
              </a:xfrm>
              <a:custGeom>
                <a:avLst/>
                <a:gdLst>
                  <a:gd name="connsiteX0" fmla="*/ 0 w 324971"/>
                  <a:gd name="connsiteY0" fmla="*/ 246529 h 338044"/>
                  <a:gd name="connsiteX1" fmla="*/ 123265 w 324971"/>
                  <a:gd name="connsiteY1" fmla="*/ 336176 h 338044"/>
                  <a:gd name="connsiteX2" fmla="*/ 302559 w 324971"/>
                  <a:gd name="connsiteY2" fmla="*/ 257735 h 338044"/>
                  <a:gd name="connsiteX3" fmla="*/ 257735 w 324971"/>
                  <a:gd name="connsiteY3" fmla="*/ 190500 h 338044"/>
                  <a:gd name="connsiteX4" fmla="*/ 268941 w 324971"/>
                  <a:gd name="connsiteY4" fmla="*/ 0 h 33804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24971" h="338044">
                    <a:moveTo>
                      <a:pt x="0" y="246529"/>
                    </a:moveTo>
                    <a:cubicBezTo>
                      <a:pt x="36419" y="290418"/>
                      <a:pt x="72839" y="334308"/>
                      <a:pt x="123265" y="336176"/>
                    </a:cubicBezTo>
                    <a:cubicBezTo>
                      <a:pt x="173691" y="338044"/>
                      <a:pt x="280147" y="282014"/>
                      <a:pt x="302559" y="257735"/>
                    </a:cubicBezTo>
                    <a:cubicBezTo>
                      <a:pt x="324971" y="233456"/>
                      <a:pt x="263338" y="233456"/>
                      <a:pt x="257735" y="190500"/>
                    </a:cubicBezTo>
                    <a:cubicBezTo>
                      <a:pt x="252132" y="147544"/>
                      <a:pt x="260536" y="73772"/>
                      <a:pt x="268941" y="0"/>
                    </a:cubicBezTo>
                  </a:path>
                </a:pathLst>
              </a:custGeom>
              <a:ln w="1905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en-CA" sz="1100"/>
              </a:p>
            </xdr:txBody>
          </xdr:sp>
          <xdr:sp macro="" textlink="">
            <xdr:nvSpPr>
              <xdr:cNvPr id="27" name="Freeform 18"/>
              <xdr:cNvSpPr/>
            </xdr:nvSpPr>
            <xdr:spPr>
              <a:xfrm>
                <a:off x="2465294" y="6107206"/>
                <a:ext cx="65368" cy="257735"/>
              </a:xfrm>
              <a:custGeom>
                <a:avLst/>
                <a:gdLst>
                  <a:gd name="connsiteX0" fmla="*/ 0 w 65368"/>
                  <a:gd name="connsiteY0" fmla="*/ 257735 h 257735"/>
                  <a:gd name="connsiteX1" fmla="*/ 56030 w 65368"/>
                  <a:gd name="connsiteY1" fmla="*/ 201706 h 257735"/>
                  <a:gd name="connsiteX2" fmla="*/ 56030 w 65368"/>
                  <a:gd name="connsiteY2" fmla="*/ 0 h 257735"/>
                </a:gdLst>
                <a:ahLst/>
                <a:cxnLst>
                  <a:cxn ang="0">
                    <a:pos x="connsiteX0" y="connsiteY0"/>
                  </a:cxn>
                  <a:cxn ang="0">
                    <a:pos x="connsiteX1" y="connsiteY1"/>
                  </a:cxn>
                  <a:cxn ang="0">
                    <a:pos x="connsiteX2" y="connsiteY2"/>
                  </a:cxn>
                </a:cxnLst>
                <a:rect l="l" t="t" r="r" b="b"/>
                <a:pathLst>
                  <a:path w="65368" h="257735">
                    <a:moveTo>
                      <a:pt x="0" y="257735"/>
                    </a:moveTo>
                    <a:cubicBezTo>
                      <a:pt x="23346" y="251198"/>
                      <a:pt x="46692" y="244662"/>
                      <a:pt x="56030" y="201706"/>
                    </a:cubicBezTo>
                    <a:cubicBezTo>
                      <a:pt x="65368" y="158750"/>
                      <a:pt x="60699" y="79375"/>
                      <a:pt x="56030" y="0"/>
                    </a:cubicBezTo>
                  </a:path>
                </a:pathLst>
              </a:custGeom>
              <a:ln w="1905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en-CA" sz="1100"/>
              </a:p>
            </xdr:txBody>
          </xdr:sp>
          <xdr:sp macro="" textlink="">
            <xdr:nvSpPr>
              <xdr:cNvPr id="28" name="Freeform 19"/>
              <xdr:cNvSpPr/>
            </xdr:nvSpPr>
            <xdr:spPr>
              <a:xfrm>
                <a:off x="2403662" y="5541309"/>
                <a:ext cx="457573" cy="618191"/>
              </a:xfrm>
              <a:custGeom>
                <a:avLst/>
                <a:gdLst>
                  <a:gd name="connsiteX0" fmla="*/ 72838 w 457573"/>
                  <a:gd name="connsiteY0" fmla="*/ 50426 h 618191"/>
                  <a:gd name="connsiteX1" fmla="*/ 5603 w 457573"/>
                  <a:gd name="connsiteY1" fmla="*/ 352985 h 618191"/>
                  <a:gd name="connsiteX2" fmla="*/ 106456 w 457573"/>
                  <a:gd name="connsiteY2" fmla="*/ 577103 h 618191"/>
                  <a:gd name="connsiteX3" fmla="*/ 252132 w 457573"/>
                  <a:gd name="connsiteY3" fmla="*/ 599515 h 618191"/>
                  <a:gd name="connsiteX4" fmla="*/ 341779 w 457573"/>
                  <a:gd name="connsiteY4" fmla="*/ 565897 h 618191"/>
                  <a:gd name="connsiteX5" fmla="*/ 453838 w 457573"/>
                  <a:gd name="connsiteY5" fmla="*/ 330573 h 618191"/>
                  <a:gd name="connsiteX6" fmla="*/ 364191 w 457573"/>
                  <a:gd name="connsiteY6" fmla="*/ 50426 h 618191"/>
                  <a:gd name="connsiteX7" fmla="*/ 72838 w 457573"/>
                  <a:gd name="connsiteY7" fmla="*/ 50426 h 618191"/>
                  <a:gd name="connsiteX0" fmla="*/ 72838 w 457573"/>
                  <a:gd name="connsiteY0" fmla="*/ 50426 h 618191"/>
                  <a:gd name="connsiteX1" fmla="*/ 5603 w 457573"/>
                  <a:gd name="connsiteY1" fmla="*/ 352985 h 618191"/>
                  <a:gd name="connsiteX2" fmla="*/ 106456 w 457573"/>
                  <a:gd name="connsiteY2" fmla="*/ 577103 h 618191"/>
                  <a:gd name="connsiteX3" fmla="*/ 252132 w 457573"/>
                  <a:gd name="connsiteY3" fmla="*/ 599515 h 618191"/>
                  <a:gd name="connsiteX4" fmla="*/ 218514 w 457573"/>
                  <a:gd name="connsiteY4" fmla="*/ 610720 h 618191"/>
                  <a:gd name="connsiteX5" fmla="*/ 341779 w 457573"/>
                  <a:gd name="connsiteY5" fmla="*/ 565897 h 618191"/>
                  <a:gd name="connsiteX6" fmla="*/ 453838 w 457573"/>
                  <a:gd name="connsiteY6" fmla="*/ 330573 h 618191"/>
                  <a:gd name="connsiteX7" fmla="*/ 364191 w 457573"/>
                  <a:gd name="connsiteY7" fmla="*/ 50426 h 618191"/>
                  <a:gd name="connsiteX8" fmla="*/ 72838 w 457573"/>
                  <a:gd name="connsiteY8" fmla="*/ 50426 h 61819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457573" h="618191">
                    <a:moveTo>
                      <a:pt x="72838" y="50426"/>
                    </a:moveTo>
                    <a:cubicBezTo>
                      <a:pt x="13073" y="100852"/>
                      <a:pt x="0" y="265206"/>
                      <a:pt x="5603" y="352985"/>
                    </a:cubicBezTo>
                    <a:cubicBezTo>
                      <a:pt x="11206" y="440764"/>
                      <a:pt x="65368" y="536015"/>
                      <a:pt x="106456" y="577103"/>
                    </a:cubicBezTo>
                    <a:cubicBezTo>
                      <a:pt x="147544" y="618191"/>
                      <a:pt x="233456" y="593912"/>
                      <a:pt x="252132" y="599515"/>
                    </a:cubicBezTo>
                    <a:cubicBezTo>
                      <a:pt x="270808" y="605118"/>
                      <a:pt x="203573" y="616323"/>
                      <a:pt x="218514" y="610720"/>
                    </a:cubicBezTo>
                    <a:cubicBezTo>
                      <a:pt x="233455" y="605117"/>
                      <a:pt x="302558" y="612588"/>
                      <a:pt x="341779" y="565897"/>
                    </a:cubicBezTo>
                    <a:cubicBezTo>
                      <a:pt x="381000" y="519206"/>
                      <a:pt x="450103" y="416485"/>
                      <a:pt x="453838" y="330573"/>
                    </a:cubicBezTo>
                    <a:cubicBezTo>
                      <a:pt x="457573" y="244661"/>
                      <a:pt x="429559" y="98985"/>
                      <a:pt x="364191" y="50426"/>
                    </a:cubicBezTo>
                    <a:cubicBezTo>
                      <a:pt x="298823" y="1867"/>
                      <a:pt x="132603" y="0"/>
                      <a:pt x="72838" y="50426"/>
                    </a:cubicBezTo>
                    <a:close/>
                  </a:path>
                </a:pathLst>
              </a:custGeom>
              <a:noFill/>
              <a:ln w="19050">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CA" sz="1100"/>
              </a:p>
            </xdr:txBody>
          </xdr:sp>
          <xdr:sp macro="" textlink="">
            <xdr:nvSpPr>
              <xdr:cNvPr id="29" name="Freeform 28"/>
              <xdr:cNvSpPr/>
            </xdr:nvSpPr>
            <xdr:spPr>
              <a:xfrm>
                <a:off x="2071220" y="7698441"/>
                <a:ext cx="416486" cy="1611780"/>
              </a:xfrm>
              <a:custGeom>
                <a:avLst/>
                <a:gdLst>
                  <a:gd name="connsiteX0" fmla="*/ 57898 w 416486"/>
                  <a:gd name="connsiteY0" fmla="*/ 0 h 1611780"/>
                  <a:gd name="connsiteX1" fmla="*/ 1868 w 416486"/>
                  <a:gd name="connsiteY1" fmla="*/ 179294 h 1611780"/>
                  <a:gd name="connsiteX2" fmla="*/ 46692 w 416486"/>
                  <a:gd name="connsiteY2" fmla="*/ 392206 h 1611780"/>
                  <a:gd name="connsiteX3" fmla="*/ 91515 w 416486"/>
                  <a:gd name="connsiteY3" fmla="*/ 504265 h 1611780"/>
                  <a:gd name="connsiteX4" fmla="*/ 46692 w 416486"/>
                  <a:gd name="connsiteY4" fmla="*/ 694765 h 1611780"/>
                  <a:gd name="connsiteX5" fmla="*/ 136339 w 416486"/>
                  <a:gd name="connsiteY5" fmla="*/ 1445559 h 1611780"/>
                  <a:gd name="connsiteX6" fmla="*/ 315633 w 416486"/>
                  <a:gd name="connsiteY6" fmla="*/ 1490383 h 1611780"/>
                  <a:gd name="connsiteX7" fmla="*/ 371662 w 416486"/>
                  <a:gd name="connsiteY7" fmla="*/ 717177 h 1611780"/>
                  <a:gd name="connsiteX8" fmla="*/ 338045 w 416486"/>
                  <a:gd name="connsiteY8" fmla="*/ 481853 h 1611780"/>
                  <a:gd name="connsiteX9" fmla="*/ 405280 w 416486"/>
                  <a:gd name="connsiteY9" fmla="*/ 336177 h 1611780"/>
                  <a:gd name="connsiteX10" fmla="*/ 405280 w 416486"/>
                  <a:gd name="connsiteY10" fmla="*/ 201706 h 1611780"/>
                  <a:gd name="connsiteX11" fmla="*/ 405280 w 416486"/>
                  <a:gd name="connsiteY11" fmla="*/ 201706 h 161178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416486" h="1611780">
                    <a:moveTo>
                      <a:pt x="57898" y="0"/>
                    </a:moveTo>
                    <a:cubicBezTo>
                      <a:pt x="30817" y="56963"/>
                      <a:pt x="3736" y="113926"/>
                      <a:pt x="1868" y="179294"/>
                    </a:cubicBezTo>
                    <a:cubicBezTo>
                      <a:pt x="0" y="244662"/>
                      <a:pt x="31751" y="338044"/>
                      <a:pt x="46692" y="392206"/>
                    </a:cubicBezTo>
                    <a:cubicBezTo>
                      <a:pt x="61633" y="446368"/>
                      <a:pt x="91515" y="453839"/>
                      <a:pt x="91515" y="504265"/>
                    </a:cubicBezTo>
                    <a:cubicBezTo>
                      <a:pt x="91515" y="554691"/>
                      <a:pt x="39221" y="537883"/>
                      <a:pt x="46692" y="694765"/>
                    </a:cubicBezTo>
                    <a:cubicBezTo>
                      <a:pt x="54163" y="851647"/>
                      <a:pt x="91516" y="1312956"/>
                      <a:pt x="136339" y="1445559"/>
                    </a:cubicBezTo>
                    <a:cubicBezTo>
                      <a:pt x="181163" y="1578162"/>
                      <a:pt x="276413" y="1611780"/>
                      <a:pt x="315633" y="1490383"/>
                    </a:cubicBezTo>
                    <a:cubicBezTo>
                      <a:pt x="354853" y="1368986"/>
                      <a:pt x="367927" y="885265"/>
                      <a:pt x="371662" y="717177"/>
                    </a:cubicBezTo>
                    <a:cubicBezTo>
                      <a:pt x="375397" y="549089"/>
                      <a:pt x="332442" y="545353"/>
                      <a:pt x="338045" y="481853"/>
                    </a:cubicBezTo>
                    <a:cubicBezTo>
                      <a:pt x="343648" y="418353"/>
                      <a:pt x="394074" y="382868"/>
                      <a:pt x="405280" y="336177"/>
                    </a:cubicBezTo>
                    <a:cubicBezTo>
                      <a:pt x="416486" y="289486"/>
                      <a:pt x="405280" y="201706"/>
                      <a:pt x="405280" y="201706"/>
                    </a:cubicBezTo>
                    <a:lnTo>
                      <a:pt x="405280" y="201706"/>
                    </a:lnTo>
                  </a:path>
                </a:pathLst>
              </a:custGeom>
              <a:ln w="1905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en-CA" sz="1100"/>
              </a:p>
            </xdr:txBody>
          </xdr:sp>
          <xdr:sp macro="" textlink="">
            <xdr:nvSpPr>
              <xdr:cNvPr id="30" name="Freeform 29"/>
              <xdr:cNvSpPr/>
            </xdr:nvSpPr>
            <xdr:spPr>
              <a:xfrm flipH="1">
                <a:off x="2772709" y="7693959"/>
                <a:ext cx="416486" cy="1611780"/>
              </a:xfrm>
              <a:custGeom>
                <a:avLst/>
                <a:gdLst>
                  <a:gd name="connsiteX0" fmla="*/ 57898 w 416486"/>
                  <a:gd name="connsiteY0" fmla="*/ 0 h 1611780"/>
                  <a:gd name="connsiteX1" fmla="*/ 1868 w 416486"/>
                  <a:gd name="connsiteY1" fmla="*/ 179294 h 1611780"/>
                  <a:gd name="connsiteX2" fmla="*/ 46692 w 416486"/>
                  <a:gd name="connsiteY2" fmla="*/ 392206 h 1611780"/>
                  <a:gd name="connsiteX3" fmla="*/ 91515 w 416486"/>
                  <a:gd name="connsiteY3" fmla="*/ 504265 h 1611780"/>
                  <a:gd name="connsiteX4" fmla="*/ 46692 w 416486"/>
                  <a:gd name="connsiteY4" fmla="*/ 694765 h 1611780"/>
                  <a:gd name="connsiteX5" fmla="*/ 136339 w 416486"/>
                  <a:gd name="connsiteY5" fmla="*/ 1445559 h 1611780"/>
                  <a:gd name="connsiteX6" fmla="*/ 315633 w 416486"/>
                  <a:gd name="connsiteY6" fmla="*/ 1490383 h 1611780"/>
                  <a:gd name="connsiteX7" fmla="*/ 371662 w 416486"/>
                  <a:gd name="connsiteY7" fmla="*/ 717177 h 1611780"/>
                  <a:gd name="connsiteX8" fmla="*/ 338045 w 416486"/>
                  <a:gd name="connsiteY8" fmla="*/ 481853 h 1611780"/>
                  <a:gd name="connsiteX9" fmla="*/ 405280 w 416486"/>
                  <a:gd name="connsiteY9" fmla="*/ 336177 h 1611780"/>
                  <a:gd name="connsiteX10" fmla="*/ 405280 w 416486"/>
                  <a:gd name="connsiteY10" fmla="*/ 201706 h 1611780"/>
                  <a:gd name="connsiteX11" fmla="*/ 405280 w 416486"/>
                  <a:gd name="connsiteY11" fmla="*/ 201706 h 161178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416486" h="1611780">
                    <a:moveTo>
                      <a:pt x="57898" y="0"/>
                    </a:moveTo>
                    <a:cubicBezTo>
                      <a:pt x="30817" y="56963"/>
                      <a:pt x="3736" y="113926"/>
                      <a:pt x="1868" y="179294"/>
                    </a:cubicBezTo>
                    <a:cubicBezTo>
                      <a:pt x="0" y="244662"/>
                      <a:pt x="31751" y="338044"/>
                      <a:pt x="46692" y="392206"/>
                    </a:cubicBezTo>
                    <a:cubicBezTo>
                      <a:pt x="61633" y="446368"/>
                      <a:pt x="91515" y="453839"/>
                      <a:pt x="91515" y="504265"/>
                    </a:cubicBezTo>
                    <a:cubicBezTo>
                      <a:pt x="91515" y="554691"/>
                      <a:pt x="39221" y="537883"/>
                      <a:pt x="46692" y="694765"/>
                    </a:cubicBezTo>
                    <a:cubicBezTo>
                      <a:pt x="54163" y="851647"/>
                      <a:pt x="91516" y="1312956"/>
                      <a:pt x="136339" y="1445559"/>
                    </a:cubicBezTo>
                    <a:cubicBezTo>
                      <a:pt x="181163" y="1578162"/>
                      <a:pt x="276413" y="1611780"/>
                      <a:pt x="315633" y="1490383"/>
                    </a:cubicBezTo>
                    <a:cubicBezTo>
                      <a:pt x="354853" y="1368986"/>
                      <a:pt x="367927" y="885265"/>
                      <a:pt x="371662" y="717177"/>
                    </a:cubicBezTo>
                    <a:cubicBezTo>
                      <a:pt x="375397" y="549089"/>
                      <a:pt x="332442" y="545353"/>
                      <a:pt x="338045" y="481853"/>
                    </a:cubicBezTo>
                    <a:cubicBezTo>
                      <a:pt x="343648" y="418353"/>
                      <a:pt x="394074" y="382868"/>
                      <a:pt x="405280" y="336177"/>
                    </a:cubicBezTo>
                    <a:cubicBezTo>
                      <a:pt x="416486" y="289486"/>
                      <a:pt x="405280" y="201706"/>
                      <a:pt x="405280" y="201706"/>
                    </a:cubicBezTo>
                    <a:lnTo>
                      <a:pt x="405280" y="201706"/>
                    </a:lnTo>
                  </a:path>
                </a:pathLst>
              </a:custGeom>
              <a:ln w="1905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en-CA" sz="1100"/>
              </a:p>
            </xdr:txBody>
          </xdr:sp>
          <xdr:sp macro="" textlink="">
            <xdr:nvSpPr>
              <xdr:cNvPr id="31" name="Freeform 30"/>
              <xdr:cNvSpPr/>
            </xdr:nvSpPr>
            <xdr:spPr>
              <a:xfrm>
                <a:off x="2420471" y="8152137"/>
                <a:ext cx="414617" cy="0"/>
              </a:xfrm>
              <a:custGeom>
                <a:avLst/>
                <a:gdLst>
                  <a:gd name="connsiteX0" fmla="*/ 0 w 414617"/>
                  <a:gd name="connsiteY0" fmla="*/ 0 h 0"/>
                  <a:gd name="connsiteX1" fmla="*/ 414617 w 414617"/>
                  <a:gd name="connsiteY1" fmla="*/ 0 h 0"/>
                </a:gdLst>
                <a:ahLst/>
                <a:cxnLst>
                  <a:cxn ang="0">
                    <a:pos x="connsiteX0" y="connsiteY0"/>
                  </a:cxn>
                  <a:cxn ang="0">
                    <a:pos x="connsiteX1" y="connsiteY1"/>
                  </a:cxn>
                </a:cxnLst>
                <a:rect l="l" t="t" r="r" b="b"/>
                <a:pathLst>
                  <a:path w="414617">
                    <a:moveTo>
                      <a:pt x="0" y="0"/>
                    </a:moveTo>
                    <a:lnTo>
                      <a:pt x="414617" y="0"/>
                    </a:lnTo>
                  </a:path>
                </a:pathLst>
              </a:custGeom>
              <a:ln w="1905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en-CA" sz="1100"/>
              </a:p>
            </xdr:txBody>
          </xdr:sp>
          <xdr:sp macro="" textlink="">
            <xdr:nvSpPr>
              <xdr:cNvPr id="32" name="Freeform 31"/>
              <xdr:cNvSpPr/>
            </xdr:nvSpPr>
            <xdr:spPr>
              <a:xfrm>
                <a:off x="2762250" y="9222441"/>
                <a:ext cx="425823" cy="222250"/>
              </a:xfrm>
              <a:custGeom>
                <a:avLst/>
                <a:gdLst>
                  <a:gd name="connsiteX0" fmla="*/ 140073 w 425823"/>
                  <a:gd name="connsiteY0" fmla="*/ 11206 h 222250"/>
                  <a:gd name="connsiteX1" fmla="*/ 72838 w 425823"/>
                  <a:gd name="connsiteY1" fmla="*/ 123265 h 222250"/>
                  <a:gd name="connsiteX2" fmla="*/ 50426 w 425823"/>
                  <a:gd name="connsiteY2" fmla="*/ 190500 h 222250"/>
                  <a:gd name="connsiteX3" fmla="*/ 375397 w 425823"/>
                  <a:gd name="connsiteY3" fmla="*/ 201706 h 222250"/>
                  <a:gd name="connsiteX4" fmla="*/ 352985 w 425823"/>
                  <a:gd name="connsiteY4" fmla="*/ 67235 h 222250"/>
                  <a:gd name="connsiteX5" fmla="*/ 263338 w 425823"/>
                  <a:gd name="connsiteY5" fmla="*/ 0 h 22225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425823" h="222250">
                    <a:moveTo>
                      <a:pt x="140073" y="11206"/>
                    </a:moveTo>
                    <a:cubicBezTo>
                      <a:pt x="113926" y="52294"/>
                      <a:pt x="87779" y="93383"/>
                      <a:pt x="72838" y="123265"/>
                    </a:cubicBezTo>
                    <a:cubicBezTo>
                      <a:pt x="57897" y="153147"/>
                      <a:pt x="0" y="177427"/>
                      <a:pt x="50426" y="190500"/>
                    </a:cubicBezTo>
                    <a:cubicBezTo>
                      <a:pt x="100852" y="203573"/>
                      <a:pt x="324971" y="222250"/>
                      <a:pt x="375397" y="201706"/>
                    </a:cubicBezTo>
                    <a:cubicBezTo>
                      <a:pt x="425823" y="181162"/>
                      <a:pt x="371661" y="100853"/>
                      <a:pt x="352985" y="67235"/>
                    </a:cubicBezTo>
                    <a:cubicBezTo>
                      <a:pt x="334309" y="33617"/>
                      <a:pt x="298823" y="16808"/>
                      <a:pt x="263338" y="0"/>
                    </a:cubicBezTo>
                  </a:path>
                </a:pathLst>
              </a:custGeom>
              <a:ln w="1905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en-CA" sz="1100"/>
              </a:p>
            </xdr:txBody>
          </xdr:sp>
          <xdr:sp macro="" textlink="">
            <xdr:nvSpPr>
              <xdr:cNvPr id="33" name="Freeform 32"/>
              <xdr:cNvSpPr/>
            </xdr:nvSpPr>
            <xdr:spPr>
              <a:xfrm flipH="1">
                <a:off x="2096620" y="9217958"/>
                <a:ext cx="425823" cy="222250"/>
              </a:xfrm>
              <a:custGeom>
                <a:avLst/>
                <a:gdLst>
                  <a:gd name="connsiteX0" fmla="*/ 140073 w 425823"/>
                  <a:gd name="connsiteY0" fmla="*/ 11206 h 222250"/>
                  <a:gd name="connsiteX1" fmla="*/ 72838 w 425823"/>
                  <a:gd name="connsiteY1" fmla="*/ 123265 h 222250"/>
                  <a:gd name="connsiteX2" fmla="*/ 50426 w 425823"/>
                  <a:gd name="connsiteY2" fmla="*/ 190500 h 222250"/>
                  <a:gd name="connsiteX3" fmla="*/ 375397 w 425823"/>
                  <a:gd name="connsiteY3" fmla="*/ 201706 h 222250"/>
                  <a:gd name="connsiteX4" fmla="*/ 352985 w 425823"/>
                  <a:gd name="connsiteY4" fmla="*/ 67235 h 222250"/>
                  <a:gd name="connsiteX5" fmla="*/ 263338 w 425823"/>
                  <a:gd name="connsiteY5" fmla="*/ 0 h 22225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425823" h="222250">
                    <a:moveTo>
                      <a:pt x="140073" y="11206"/>
                    </a:moveTo>
                    <a:cubicBezTo>
                      <a:pt x="113926" y="52294"/>
                      <a:pt x="87779" y="93383"/>
                      <a:pt x="72838" y="123265"/>
                    </a:cubicBezTo>
                    <a:cubicBezTo>
                      <a:pt x="57897" y="153147"/>
                      <a:pt x="0" y="177427"/>
                      <a:pt x="50426" y="190500"/>
                    </a:cubicBezTo>
                    <a:cubicBezTo>
                      <a:pt x="100852" y="203573"/>
                      <a:pt x="324971" y="222250"/>
                      <a:pt x="375397" y="201706"/>
                    </a:cubicBezTo>
                    <a:cubicBezTo>
                      <a:pt x="425823" y="181162"/>
                      <a:pt x="371661" y="100853"/>
                      <a:pt x="352985" y="67235"/>
                    </a:cubicBezTo>
                    <a:cubicBezTo>
                      <a:pt x="334309" y="33617"/>
                      <a:pt x="298823" y="16808"/>
                      <a:pt x="263338" y="0"/>
                    </a:cubicBezTo>
                  </a:path>
                </a:pathLst>
              </a:custGeom>
              <a:ln w="1905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en-CA" sz="1100"/>
              </a:p>
            </xdr:txBody>
          </xdr:sp>
        </xdr:grpSp>
        <xdr:cxnSp macro="">
          <xdr:nvCxnSpPr>
            <xdr:cNvPr id="20" name="Straight Connector 19"/>
            <xdr:cNvCxnSpPr/>
          </xdr:nvCxnSpPr>
          <xdr:spPr>
            <a:xfrm rot="5400000">
              <a:off x="5715008" y="3048000"/>
              <a:ext cx="4572000" cy="1588"/>
            </a:xfrm>
            <a:prstGeom prst="line">
              <a:avLst/>
            </a:prstGeom>
            <a:ln>
              <a:solidFill>
                <a:schemeClr val="bg1">
                  <a:lumMod val="75000"/>
                </a:schemeClr>
              </a:solidFill>
              <a:prstDash val="lgDashDot"/>
            </a:ln>
          </xdr:spPr>
          <xdr:style>
            <a:lnRef idx="1">
              <a:schemeClr val="accent1"/>
            </a:lnRef>
            <a:fillRef idx="0">
              <a:schemeClr val="accent1"/>
            </a:fillRef>
            <a:effectRef idx="0">
              <a:schemeClr val="accent1"/>
            </a:effectRef>
            <a:fontRef idx="minor">
              <a:schemeClr val="tx1"/>
            </a:fontRef>
          </xdr:style>
        </xdr:cxnSp>
        <xdr:graphicFrame macro="">
          <xdr:nvGraphicFramePr>
            <xdr:cNvPr id="21" name="Chart 20"/>
            <xdr:cNvGraphicFramePr/>
          </xdr:nvGraphicFramePr>
          <xdr:xfrm>
            <a:off x="6887309" y="2331939"/>
            <a:ext cx="2198075" cy="3029274"/>
          </xdr:xfrm>
          <a:graphic>
            <a:graphicData uri="http://schemas.openxmlformats.org/drawingml/2006/chart">
              <c:chart xmlns:c="http://schemas.openxmlformats.org/drawingml/2006/chart" xmlns:r="http://schemas.openxmlformats.org/officeDocument/2006/relationships" r:id="rId2"/>
            </a:graphicData>
          </a:graphic>
        </xdr:graphicFrame>
      </xdr:grpSp>
      <xdr:grpSp>
        <xdr:nvGrpSpPr>
          <xdr:cNvPr id="10" name="Group 43"/>
          <xdr:cNvGrpSpPr/>
        </xdr:nvGrpSpPr>
        <xdr:grpSpPr>
          <a:xfrm>
            <a:off x="612321" y="7125195"/>
            <a:ext cx="3374572" cy="1850100"/>
            <a:chOff x="612321" y="6958507"/>
            <a:chExt cx="3374572" cy="1659600"/>
          </a:xfrm>
        </xdr:grpSpPr>
        <xdr:grpSp>
          <xdr:nvGrpSpPr>
            <xdr:cNvPr id="11" name="Group 25"/>
            <xdr:cNvGrpSpPr/>
          </xdr:nvGrpSpPr>
          <xdr:grpSpPr>
            <a:xfrm>
              <a:off x="728699" y="6958507"/>
              <a:ext cx="2841593" cy="1639794"/>
              <a:chOff x="9674412" y="6204324"/>
              <a:chExt cx="3934499" cy="2352488"/>
            </a:xfrm>
          </xdr:grpSpPr>
          <xdr:sp macro="" textlink="">
            <xdr:nvSpPr>
              <xdr:cNvPr id="14" name="Freeform 13"/>
              <xdr:cNvSpPr/>
            </xdr:nvSpPr>
            <xdr:spPr>
              <a:xfrm>
                <a:off x="12682904" y="7061832"/>
                <a:ext cx="926007" cy="655286"/>
              </a:xfrm>
              <a:custGeom>
                <a:avLst/>
                <a:gdLst>
                  <a:gd name="connsiteX0" fmla="*/ 474383 w 937559"/>
                  <a:gd name="connsiteY0" fmla="*/ 5603 h 651808"/>
                  <a:gd name="connsiteX1" fmla="*/ 115794 w 937559"/>
                  <a:gd name="connsiteY1" fmla="*/ 95250 h 651808"/>
                  <a:gd name="connsiteX2" fmla="*/ 3735 w 937559"/>
                  <a:gd name="connsiteY2" fmla="*/ 364191 h 651808"/>
                  <a:gd name="connsiteX3" fmla="*/ 138206 w 937559"/>
                  <a:gd name="connsiteY3" fmla="*/ 565897 h 651808"/>
                  <a:gd name="connsiteX4" fmla="*/ 552824 w 937559"/>
                  <a:gd name="connsiteY4" fmla="*/ 633132 h 651808"/>
                  <a:gd name="connsiteX5" fmla="*/ 877794 w 937559"/>
                  <a:gd name="connsiteY5" fmla="*/ 453838 h 651808"/>
                  <a:gd name="connsiteX6" fmla="*/ 911412 w 937559"/>
                  <a:gd name="connsiteY6" fmla="*/ 308162 h 651808"/>
                  <a:gd name="connsiteX7" fmla="*/ 900206 w 937559"/>
                  <a:gd name="connsiteY7" fmla="*/ 240926 h 651808"/>
                  <a:gd name="connsiteX8" fmla="*/ 687294 w 937559"/>
                  <a:gd name="connsiteY8" fmla="*/ 61632 h 651808"/>
                  <a:gd name="connsiteX9" fmla="*/ 474383 w 937559"/>
                  <a:gd name="connsiteY9" fmla="*/ 5603 h 651808"/>
                  <a:gd name="connsiteX0" fmla="*/ 474383 w 937559"/>
                  <a:gd name="connsiteY0" fmla="*/ 5603 h 651808"/>
                  <a:gd name="connsiteX1" fmla="*/ 115794 w 937559"/>
                  <a:gd name="connsiteY1" fmla="*/ 95250 h 651808"/>
                  <a:gd name="connsiteX2" fmla="*/ 3735 w 937559"/>
                  <a:gd name="connsiteY2" fmla="*/ 364191 h 651808"/>
                  <a:gd name="connsiteX3" fmla="*/ 138206 w 937559"/>
                  <a:gd name="connsiteY3" fmla="*/ 565897 h 651808"/>
                  <a:gd name="connsiteX4" fmla="*/ 552824 w 937559"/>
                  <a:gd name="connsiteY4" fmla="*/ 633132 h 651808"/>
                  <a:gd name="connsiteX5" fmla="*/ 877794 w 937559"/>
                  <a:gd name="connsiteY5" fmla="*/ 453838 h 651808"/>
                  <a:gd name="connsiteX6" fmla="*/ 911412 w 937559"/>
                  <a:gd name="connsiteY6" fmla="*/ 308162 h 651808"/>
                  <a:gd name="connsiteX7" fmla="*/ 810559 w 937559"/>
                  <a:gd name="connsiteY7" fmla="*/ 173691 h 651808"/>
                  <a:gd name="connsiteX8" fmla="*/ 687294 w 937559"/>
                  <a:gd name="connsiteY8" fmla="*/ 61632 h 651808"/>
                  <a:gd name="connsiteX9" fmla="*/ 474383 w 937559"/>
                  <a:gd name="connsiteY9" fmla="*/ 5603 h 651808"/>
                  <a:gd name="connsiteX0" fmla="*/ 474383 w 943162"/>
                  <a:gd name="connsiteY0" fmla="*/ 5603 h 651808"/>
                  <a:gd name="connsiteX1" fmla="*/ 115794 w 943162"/>
                  <a:gd name="connsiteY1" fmla="*/ 95250 h 651808"/>
                  <a:gd name="connsiteX2" fmla="*/ 3735 w 943162"/>
                  <a:gd name="connsiteY2" fmla="*/ 364191 h 651808"/>
                  <a:gd name="connsiteX3" fmla="*/ 138206 w 943162"/>
                  <a:gd name="connsiteY3" fmla="*/ 565897 h 651808"/>
                  <a:gd name="connsiteX4" fmla="*/ 552824 w 943162"/>
                  <a:gd name="connsiteY4" fmla="*/ 633132 h 651808"/>
                  <a:gd name="connsiteX5" fmla="*/ 877794 w 943162"/>
                  <a:gd name="connsiteY5" fmla="*/ 453838 h 651808"/>
                  <a:gd name="connsiteX6" fmla="*/ 911412 w 943162"/>
                  <a:gd name="connsiteY6" fmla="*/ 308162 h 651808"/>
                  <a:gd name="connsiteX7" fmla="*/ 687294 w 943162"/>
                  <a:gd name="connsiteY7" fmla="*/ 61632 h 651808"/>
                  <a:gd name="connsiteX8" fmla="*/ 474383 w 943162"/>
                  <a:gd name="connsiteY8" fmla="*/ 5603 h 651808"/>
                  <a:gd name="connsiteX0" fmla="*/ 474383 w 928220"/>
                  <a:gd name="connsiteY0" fmla="*/ 5603 h 651808"/>
                  <a:gd name="connsiteX1" fmla="*/ 115794 w 928220"/>
                  <a:gd name="connsiteY1" fmla="*/ 95250 h 651808"/>
                  <a:gd name="connsiteX2" fmla="*/ 3735 w 928220"/>
                  <a:gd name="connsiteY2" fmla="*/ 364191 h 651808"/>
                  <a:gd name="connsiteX3" fmla="*/ 138206 w 928220"/>
                  <a:gd name="connsiteY3" fmla="*/ 565897 h 651808"/>
                  <a:gd name="connsiteX4" fmla="*/ 552824 w 928220"/>
                  <a:gd name="connsiteY4" fmla="*/ 633132 h 651808"/>
                  <a:gd name="connsiteX5" fmla="*/ 877794 w 928220"/>
                  <a:gd name="connsiteY5" fmla="*/ 453838 h 651808"/>
                  <a:gd name="connsiteX6" fmla="*/ 855382 w 928220"/>
                  <a:gd name="connsiteY6" fmla="*/ 229720 h 651808"/>
                  <a:gd name="connsiteX7" fmla="*/ 687294 w 928220"/>
                  <a:gd name="connsiteY7" fmla="*/ 61632 h 651808"/>
                  <a:gd name="connsiteX8" fmla="*/ 474383 w 928220"/>
                  <a:gd name="connsiteY8" fmla="*/ 5603 h 651808"/>
                  <a:gd name="connsiteX0" fmla="*/ 474383 w 928220"/>
                  <a:gd name="connsiteY0" fmla="*/ 22412 h 668617"/>
                  <a:gd name="connsiteX1" fmla="*/ 115794 w 928220"/>
                  <a:gd name="connsiteY1" fmla="*/ 112059 h 668617"/>
                  <a:gd name="connsiteX2" fmla="*/ 3735 w 928220"/>
                  <a:gd name="connsiteY2" fmla="*/ 381000 h 668617"/>
                  <a:gd name="connsiteX3" fmla="*/ 138206 w 928220"/>
                  <a:gd name="connsiteY3" fmla="*/ 582706 h 668617"/>
                  <a:gd name="connsiteX4" fmla="*/ 552824 w 928220"/>
                  <a:gd name="connsiteY4" fmla="*/ 649941 h 668617"/>
                  <a:gd name="connsiteX5" fmla="*/ 877794 w 928220"/>
                  <a:gd name="connsiteY5" fmla="*/ 470647 h 668617"/>
                  <a:gd name="connsiteX6" fmla="*/ 855382 w 928220"/>
                  <a:gd name="connsiteY6" fmla="*/ 246529 h 668617"/>
                  <a:gd name="connsiteX7" fmla="*/ 474383 w 928220"/>
                  <a:gd name="connsiteY7" fmla="*/ 22412 h 668617"/>
                  <a:gd name="connsiteX0" fmla="*/ 474383 w 926006"/>
                  <a:gd name="connsiteY0" fmla="*/ 9080 h 655285"/>
                  <a:gd name="connsiteX1" fmla="*/ 115794 w 926006"/>
                  <a:gd name="connsiteY1" fmla="*/ 98727 h 655285"/>
                  <a:gd name="connsiteX2" fmla="*/ 3735 w 926006"/>
                  <a:gd name="connsiteY2" fmla="*/ 367668 h 655285"/>
                  <a:gd name="connsiteX3" fmla="*/ 138206 w 926006"/>
                  <a:gd name="connsiteY3" fmla="*/ 569374 h 655285"/>
                  <a:gd name="connsiteX4" fmla="*/ 552824 w 926006"/>
                  <a:gd name="connsiteY4" fmla="*/ 636609 h 655285"/>
                  <a:gd name="connsiteX5" fmla="*/ 877794 w 926006"/>
                  <a:gd name="connsiteY5" fmla="*/ 457315 h 655285"/>
                  <a:gd name="connsiteX6" fmla="*/ 842098 w 926006"/>
                  <a:gd name="connsiteY6" fmla="*/ 153208 h 655285"/>
                  <a:gd name="connsiteX7" fmla="*/ 474383 w 926006"/>
                  <a:gd name="connsiteY7" fmla="*/ 9080 h 65528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926006" h="655285">
                    <a:moveTo>
                      <a:pt x="474383" y="9080"/>
                    </a:moveTo>
                    <a:cubicBezTo>
                      <a:pt x="353332" y="0"/>
                      <a:pt x="194235" y="38962"/>
                      <a:pt x="115794" y="98727"/>
                    </a:cubicBezTo>
                    <a:cubicBezTo>
                      <a:pt x="37353" y="158492"/>
                      <a:pt x="0" y="289227"/>
                      <a:pt x="3735" y="367668"/>
                    </a:cubicBezTo>
                    <a:cubicBezTo>
                      <a:pt x="7470" y="446109"/>
                      <a:pt x="46691" y="524551"/>
                      <a:pt x="138206" y="569374"/>
                    </a:cubicBezTo>
                    <a:cubicBezTo>
                      <a:pt x="229721" y="614197"/>
                      <a:pt x="429559" y="655285"/>
                      <a:pt x="552824" y="636609"/>
                    </a:cubicBezTo>
                    <a:cubicBezTo>
                      <a:pt x="676089" y="617933"/>
                      <a:pt x="829582" y="537882"/>
                      <a:pt x="877794" y="457315"/>
                    </a:cubicBezTo>
                    <a:cubicBezTo>
                      <a:pt x="926006" y="376748"/>
                      <a:pt x="909333" y="227914"/>
                      <a:pt x="842098" y="153208"/>
                    </a:cubicBezTo>
                    <a:cubicBezTo>
                      <a:pt x="774863" y="78502"/>
                      <a:pt x="595434" y="18160"/>
                      <a:pt x="474383" y="9080"/>
                    </a:cubicBezTo>
                    <a:close/>
                  </a:path>
                </a:pathLst>
              </a:custGeom>
              <a:noFill/>
              <a:ln w="19050">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CA" sz="1100"/>
              </a:p>
            </xdr:txBody>
          </xdr:sp>
          <xdr:sp macro="" textlink="">
            <xdr:nvSpPr>
              <xdr:cNvPr id="15" name="Freeform 14"/>
              <xdr:cNvSpPr/>
            </xdr:nvSpPr>
            <xdr:spPr>
              <a:xfrm>
                <a:off x="10903323" y="6204324"/>
                <a:ext cx="2610971" cy="956235"/>
              </a:xfrm>
              <a:custGeom>
                <a:avLst/>
                <a:gdLst>
                  <a:gd name="connsiteX0" fmla="*/ 2577353 w 2610971"/>
                  <a:gd name="connsiteY0" fmla="*/ 956235 h 956235"/>
                  <a:gd name="connsiteX1" fmla="*/ 2577353 w 2610971"/>
                  <a:gd name="connsiteY1" fmla="*/ 900205 h 956235"/>
                  <a:gd name="connsiteX2" fmla="*/ 2588559 w 2610971"/>
                  <a:gd name="connsiteY2" fmla="*/ 608852 h 956235"/>
                  <a:gd name="connsiteX3" fmla="*/ 2442883 w 2610971"/>
                  <a:gd name="connsiteY3" fmla="*/ 295088 h 956235"/>
                  <a:gd name="connsiteX4" fmla="*/ 2039471 w 2610971"/>
                  <a:gd name="connsiteY4" fmla="*/ 104588 h 956235"/>
                  <a:gd name="connsiteX5" fmla="*/ 1703295 w 2610971"/>
                  <a:gd name="connsiteY5" fmla="*/ 37352 h 956235"/>
                  <a:gd name="connsiteX6" fmla="*/ 1333501 w 2610971"/>
                  <a:gd name="connsiteY6" fmla="*/ 14941 h 956235"/>
                  <a:gd name="connsiteX7" fmla="*/ 851648 w 2610971"/>
                  <a:gd name="connsiteY7" fmla="*/ 127000 h 956235"/>
                  <a:gd name="connsiteX8" fmla="*/ 537883 w 2610971"/>
                  <a:gd name="connsiteY8" fmla="*/ 328705 h 956235"/>
                  <a:gd name="connsiteX9" fmla="*/ 381001 w 2610971"/>
                  <a:gd name="connsiteY9" fmla="*/ 295088 h 956235"/>
                  <a:gd name="connsiteX10" fmla="*/ 44824 w 2610971"/>
                  <a:gd name="connsiteY10" fmla="*/ 418352 h 956235"/>
                  <a:gd name="connsiteX11" fmla="*/ 112059 w 2610971"/>
                  <a:gd name="connsiteY11" fmla="*/ 642470 h 956235"/>
                  <a:gd name="connsiteX12" fmla="*/ 526677 w 2610971"/>
                  <a:gd name="connsiteY12" fmla="*/ 496794 h 956235"/>
                  <a:gd name="connsiteX13" fmla="*/ 571501 w 2610971"/>
                  <a:gd name="connsiteY13" fmla="*/ 429558 h 956235"/>
                  <a:gd name="connsiteX14" fmla="*/ 918883 w 2610971"/>
                  <a:gd name="connsiteY14" fmla="*/ 451970 h 956235"/>
                  <a:gd name="connsiteX15" fmla="*/ 1411942 w 2610971"/>
                  <a:gd name="connsiteY15" fmla="*/ 339911 h 956235"/>
                  <a:gd name="connsiteX16" fmla="*/ 1568824 w 2610971"/>
                  <a:gd name="connsiteY16" fmla="*/ 295088 h 956235"/>
                  <a:gd name="connsiteX17" fmla="*/ 1927412 w 2610971"/>
                  <a:gd name="connsiteY17" fmla="*/ 485588 h 956235"/>
                  <a:gd name="connsiteX18" fmla="*/ 1871383 w 2610971"/>
                  <a:gd name="connsiteY18" fmla="*/ 508000 h 956235"/>
                  <a:gd name="connsiteX19" fmla="*/ 1535206 w 2610971"/>
                  <a:gd name="connsiteY19" fmla="*/ 608852 h 956235"/>
                  <a:gd name="connsiteX20" fmla="*/ 1411942 w 2610971"/>
                  <a:gd name="connsiteY20" fmla="*/ 564029 h 956235"/>
                  <a:gd name="connsiteX21" fmla="*/ 1221442 w 2610971"/>
                  <a:gd name="connsiteY21" fmla="*/ 384735 h 95623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2610971" h="956235">
                    <a:moveTo>
                      <a:pt x="2577353" y="956235"/>
                    </a:moveTo>
                    <a:lnTo>
                      <a:pt x="2577353" y="900205"/>
                    </a:lnTo>
                    <a:cubicBezTo>
                      <a:pt x="2579221" y="842308"/>
                      <a:pt x="2610971" y="709705"/>
                      <a:pt x="2588559" y="608852"/>
                    </a:cubicBezTo>
                    <a:cubicBezTo>
                      <a:pt x="2566147" y="507999"/>
                      <a:pt x="2534398" y="379132"/>
                      <a:pt x="2442883" y="295088"/>
                    </a:cubicBezTo>
                    <a:cubicBezTo>
                      <a:pt x="2351368" y="211044"/>
                      <a:pt x="2162736" y="147544"/>
                      <a:pt x="2039471" y="104588"/>
                    </a:cubicBezTo>
                    <a:cubicBezTo>
                      <a:pt x="1916206" y="61632"/>
                      <a:pt x="1820957" y="52293"/>
                      <a:pt x="1703295" y="37352"/>
                    </a:cubicBezTo>
                    <a:cubicBezTo>
                      <a:pt x="1585633" y="22411"/>
                      <a:pt x="1475442" y="0"/>
                      <a:pt x="1333501" y="14941"/>
                    </a:cubicBezTo>
                    <a:cubicBezTo>
                      <a:pt x="1191560" y="29882"/>
                      <a:pt x="984251" y="74706"/>
                      <a:pt x="851648" y="127000"/>
                    </a:cubicBezTo>
                    <a:cubicBezTo>
                      <a:pt x="719045" y="179294"/>
                      <a:pt x="616324" y="300690"/>
                      <a:pt x="537883" y="328705"/>
                    </a:cubicBezTo>
                    <a:cubicBezTo>
                      <a:pt x="459442" y="356720"/>
                      <a:pt x="463177" y="280147"/>
                      <a:pt x="381001" y="295088"/>
                    </a:cubicBezTo>
                    <a:cubicBezTo>
                      <a:pt x="298825" y="310029"/>
                      <a:pt x="89648" y="360455"/>
                      <a:pt x="44824" y="418352"/>
                    </a:cubicBezTo>
                    <a:cubicBezTo>
                      <a:pt x="0" y="476249"/>
                      <a:pt x="31750" y="629396"/>
                      <a:pt x="112059" y="642470"/>
                    </a:cubicBezTo>
                    <a:cubicBezTo>
                      <a:pt x="192368" y="655544"/>
                      <a:pt x="450103" y="532279"/>
                      <a:pt x="526677" y="496794"/>
                    </a:cubicBezTo>
                    <a:cubicBezTo>
                      <a:pt x="603251" y="461309"/>
                      <a:pt x="506133" y="437029"/>
                      <a:pt x="571501" y="429558"/>
                    </a:cubicBezTo>
                    <a:cubicBezTo>
                      <a:pt x="636869" y="422087"/>
                      <a:pt x="778810" y="466911"/>
                      <a:pt x="918883" y="451970"/>
                    </a:cubicBezTo>
                    <a:cubicBezTo>
                      <a:pt x="1058956" y="437029"/>
                      <a:pt x="1303619" y="366058"/>
                      <a:pt x="1411942" y="339911"/>
                    </a:cubicBezTo>
                    <a:cubicBezTo>
                      <a:pt x="1520266" y="313764"/>
                      <a:pt x="1482913" y="270809"/>
                      <a:pt x="1568824" y="295088"/>
                    </a:cubicBezTo>
                    <a:cubicBezTo>
                      <a:pt x="1654735" y="319367"/>
                      <a:pt x="1876986" y="450103"/>
                      <a:pt x="1927412" y="485588"/>
                    </a:cubicBezTo>
                    <a:cubicBezTo>
                      <a:pt x="1977838" y="521073"/>
                      <a:pt x="1936751" y="487456"/>
                      <a:pt x="1871383" y="508000"/>
                    </a:cubicBezTo>
                    <a:cubicBezTo>
                      <a:pt x="1806015" y="528544"/>
                      <a:pt x="1611780" y="599514"/>
                      <a:pt x="1535206" y="608852"/>
                    </a:cubicBezTo>
                    <a:cubicBezTo>
                      <a:pt x="1458633" y="618190"/>
                      <a:pt x="1464236" y="601382"/>
                      <a:pt x="1411942" y="564029"/>
                    </a:cubicBezTo>
                    <a:cubicBezTo>
                      <a:pt x="1359648" y="526676"/>
                      <a:pt x="1290545" y="455705"/>
                      <a:pt x="1221442" y="384735"/>
                    </a:cubicBezTo>
                  </a:path>
                </a:pathLst>
              </a:custGeom>
              <a:ln w="1905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en-CA" sz="1100"/>
              </a:p>
            </xdr:txBody>
          </xdr:sp>
          <xdr:sp macro="" textlink="">
            <xdr:nvSpPr>
              <xdr:cNvPr id="16" name="Freeform 15"/>
              <xdr:cNvSpPr/>
            </xdr:nvSpPr>
            <xdr:spPr>
              <a:xfrm flipV="1">
                <a:off x="10898840" y="7600577"/>
                <a:ext cx="2610971" cy="956235"/>
              </a:xfrm>
              <a:custGeom>
                <a:avLst/>
                <a:gdLst>
                  <a:gd name="connsiteX0" fmla="*/ 2577353 w 2610971"/>
                  <a:gd name="connsiteY0" fmla="*/ 956235 h 956235"/>
                  <a:gd name="connsiteX1" fmla="*/ 2577353 w 2610971"/>
                  <a:gd name="connsiteY1" fmla="*/ 900205 h 956235"/>
                  <a:gd name="connsiteX2" fmla="*/ 2588559 w 2610971"/>
                  <a:gd name="connsiteY2" fmla="*/ 608852 h 956235"/>
                  <a:gd name="connsiteX3" fmla="*/ 2442883 w 2610971"/>
                  <a:gd name="connsiteY3" fmla="*/ 295088 h 956235"/>
                  <a:gd name="connsiteX4" fmla="*/ 2039471 w 2610971"/>
                  <a:gd name="connsiteY4" fmla="*/ 104588 h 956235"/>
                  <a:gd name="connsiteX5" fmla="*/ 1703295 w 2610971"/>
                  <a:gd name="connsiteY5" fmla="*/ 37352 h 956235"/>
                  <a:gd name="connsiteX6" fmla="*/ 1333501 w 2610971"/>
                  <a:gd name="connsiteY6" fmla="*/ 14941 h 956235"/>
                  <a:gd name="connsiteX7" fmla="*/ 851648 w 2610971"/>
                  <a:gd name="connsiteY7" fmla="*/ 127000 h 956235"/>
                  <a:gd name="connsiteX8" fmla="*/ 537883 w 2610971"/>
                  <a:gd name="connsiteY8" fmla="*/ 328705 h 956235"/>
                  <a:gd name="connsiteX9" fmla="*/ 381001 w 2610971"/>
                  <a:gd name="connsiteY9" fmla="*/ 295088 h 956235"/>
                  <a:gd name="connsiteX10" fmla="*/ 44824 w 2610971"/>
                  <a:gd name="connsiteY10" fmla="*/ 418352 h 956235"/>
                  <a:gd name="connsiteX11" fmla="*/ 112059 w 2610971"/>
                  <a:gd name="connsiteY11" fmla="*/ 642470 h 956235"/>
                  <a:gd name="connsiteX12" fmla="*/ 526677 w 2610971"/>
                  <a:gd name="connsiteY12" fmla="*/ 496794 h 956235"/>
                  <a:gd name="connsiteX13" fmla="*/ 571501 w 2610971"/>
                  <a:gd name="connsiteY13" fmla="*/ 429558 h 956235"/>
                  <a:gd name="connsiteX14" fmla="*/ 918883 w 2610971"/>
                  <a:gd name="connsiteY14" fmla="*/ 451970 h 956235"/>
                  <a:gd name="connsiteX15" fmla="*/ 1411942 w 2610971"/>
                  <a:gd name="connsiteY15" fmla="*/ 339911 h 956235"/>
                  <a:gd name="connsiteX16" fmla="*/ 1568824 w 2610971"/>
                  <a:gd name="connsiteY16" fmla="*/ 295088 h 956235"/>
                  <a:gd name="connsiteX17" fmla="*/ 1927412 w 2610971"/>
                  <a:gd name="connsiteY17" fmla="*/ 485588 h 956235"/>
                  <a:gd name="connsiteX18" fmla="*/ 1871383 w 2610971"/>
                  <a:gd name="connsiteY18" fmla="*/ 508000 h 956235"/>
                  <a:gd name="connsiteX19" fmla="*/ 1535206 w 2610971"/>
                  <a:gd name="connsiteY19" fmla="*/ 608852 h 956235"/>
                  <a:gd name="connsiteX20" fmla="*/ 1411942 w 2610971"/>
                  <a:gd name="connsiteY20" fmla="*/ 564029 h 956235"/>
                  <a:gd name="connsiteX21" fmla="*/ 1221442 w 2610971"/>
                  <a:gd name="connsiteY21" fmla="*/ 384735 h 95623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2610971" h="956235">
                    <a:moveTo>
                      <a:pt x="2577353" y="956235"/>
                    </a:moveTo>
                    <a:lnTo>
                      <a:pt x="2577353" y="900205"/>
                    </a:lnTo>
                    <a:cubicBezTo>
                      <a:pt x="2579221" y="842308"/>
                      <a:pt x="2610971" y="709705"/>
                      <a:pt x="2588559" y="608852"/>
                    </a:cubicBezTo>
                    <a:cubicBezTo>
                      <a:pt x="2566147" y="507999"/>
                      <a:pt x="2534398" y="379132"/>
                      <a:pt x="2442883" y="295088"/>
                    </a:cubicBezTo>
                    <a:cubicBezTo>
                      <a:pt x="2351368" y="211044"/>
                      <a:pt x="2162736" y="147544"/>
                      <a:pt x="2039471" y="104588"/>
                    </a:cubicBezTo>
                    <a:cubicBezTo>
                      <a:pt x="1916206" y="61632"/>
                      <a:pt x="1820957" y="52293"/>
                      <a:pt x="1703295" y="37352"/>
                    </a:cubicBezTo>
                    <a:cubicBezTo>
                      <a:pt x="1585633" y="22411"/>
                      <a:pt x="1475442" y="0"/>
                      <a:pt x="1333501" y="14941"/>
                    </a:cubicBezTo>
                    <a:cubicBezTo>
                      <a:pt x="1191560" y="29882"/>
                      <a:pt x="984251" y="74706"/>
                      <a:pt x="851648" y="127000"/>
                    </a:cubicBezTo>
                    <a:cubicBezTo>
                      <a:pt x="719045" y="179294"/>
                      <a:pt x="616324" y="300690"/>
                      <a:pt x="537883" y="328705"/>
                    </a:cubicBezTo>
                    <a:cubicBezTo>
                      <a:pt x="459442" y="356720"/>
                      <a:pt x="463177" y="280147"/>
                      <a:pt x="381001" y="295088"/>
                    </a:cubicBezTo>
                    <a:cubicBezTo>
                      <a:pt x="298825" y="310029"/>
                      <a:pt x="89648" y="360455"/>
                      <a:pt x="44824" y="418352"/>
                    </a:cubicBezTo>
                    <a:cubicBezTo>
                      <a:pt x="0" y="476249"/>
                      <a:pt x="31750" y="629396"/>
                      <a:pt x="112059" y="642470"/>
                    </a:cubicBezTo>
                    <a:cubicBezTo>
                      <a:pt x="192368" y="655544"/>
                      <a:pt x="450103" y="532279"/>
                      <a:pt x="526677" y="496794"/>
                    </a:cubicBezTo>
                    <a:cubicBezTo>
                      <a:pt x="603251" y="461309"/>
                      <a:pt x="506133" y="437029"/>
                      <a:pt x="571501" y="429558"/>
                    </a:cubicBezTo>
                    <a:cubicBezTo>
                      <a:pt x="636869" y="422087"/>
                      <a:pt x="778810" y="466911"/>
                      <a:pt x="918883" y="451970"/>
                    </a:cubicBezTo>
                    <a:cubicBezTo>
                      <a:pt x="1058956" y="437029"/>
                      <a:pt x="1303619" y="366058"/>
                      <a:pt x="1411942" y="339911"/>
                    </a:cubicBezTo>
                    <a:cubicBezTo>
                      <a:pt x="1520266" y="313764"/>
                      <a:pt x="1482913" y="270809"/>
                      <a:pt x="1568824" y="295088"/>
                    </a:cubicBezTo>
                    <a:cubicBezTo>
                      <a:pt x="1654735" y="319367"/>
                      <a:pt x="1876986" y="450103"/>
                      <a:pt x="1927412" y="485588"/>
                    </a:cubicBezTo>
                    <a:cubicBezTo>
                      <a:pt x="1977838" y="521073"/>
                      <a:pt x="1936751" y="487456"/>
                      <a:pt x="1871383" y="508000"/>
                    </a:cubicBezTo>
                    <a:cubicBezTo>
                      <a:pt x="1806015" y="528544"/>
                      <a:pt x="1611780" y="599514"/>
                      <a:pt x="1535206" y="608852"/>
                    </a:cubicBezTo>
                    <a:cubicBezTo>
                      <a:pt x="1458633" y="618190"/>
                      <a:pt x="1464236" y="601382"/>
                      <a:pt x="1411942" y="564029"/>
                    </a:cubicBezTo>
                    <a:cubicBezTo>
                      <a:pt x="1359648" y="526676"/>
                      <a:pt x="1290545" y="455705"/>
                      <a:pt x="1221442" y="384735"/>
                    </a:cubicBezTo>
                  </a:path>
                </a:pathLst>
              </a:custGeom>
              <a:ln w="1905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en-CA" sz="1100"/>
              </a:p>
            </xdr:txBody>
          </xdr:sp>
          <xdr:sp macro="" textlink="">
            <xdr:nvSpPr>
              <xdr:cNvPr id="17" name="Freeform 16"/>
              <xdr:cNvSpPr/>
            </xdr:nvSpPr>
            <xdr:spPr>
              <a:xfrm>
                <a:off x="9674412" y="6617073"/>
                <a:ext cx="2282264" cy="756398"/>
              </a:xfrm>
              <a:custGeom>
                <a:avLst/>
                <a:gdLst>
                  <a:gd name="connsiteX0" fmla="*/ 1262529 w 2282264"/>
                  <a:gd name="connsiteY0" fmla="*/ 28015 h 756398"/>
                  <a:gd name="connsiteX1" fmla="*/ 1072029 w 2282264"/>
                  <a:gd name="connsiteY1" fmla="*/ 16809 h 756398"/>
                  <a:gd name="connsiteX2" fmla="*/ 769470 w 2282264"/>
                  <a:gd name="connsiteY2" fmla="*/ 128868 h 756398"/>
                  <a:gd name="connsiteX3" fmla="*/ 489323 w 2282264"/>
                  <a:gd name="connsiteY3" fmla="*/ 61633 h 756398"/>
                  <a:gd name="connsiteX4" fmla="*/ 97117 w 2282264"/>
                  <a:gd name="connsiteY4" fmla="*/ 128868 h 756398"/>
                  <a:gd name="connsiteX5" fmla="*/ 63500 w 2282264"/>
                  <a:gd name="connsiteY5" fmla="*/ 375398 h 756398"/>
                  <a:gd name="connsiteX6" fmla="*/ 478117 w 2282264"/>
                  <a:gd name="connsiteY6" fmla="*/ 498662 h 756398"/>
                  <a:gd name="connsiteX7" fmla="*/ 836706 w 2282264"/>
                  <a:gd name="connsiteY7" fmla="*/ 476251 h 756398"/>
                  <a:gd name="connsiteX8" fmla="*/ 937559 w 2282264"/>
                  <a:gd name="connsiteY8" fmla="*/ 487456 h 756398"/>
                  <a:gd name="connsiteX9" fmla="*/ 1161676 w 2282264"/>
                  <a:gd name="connsiteY9" fmla="*/ 554692 h 756398"/>
                  <a:gd name="connsiteX10" fmla="*/ 1531470 w 2282264"/>
                  <a:gd name="connsiteY10" fmla="*/ 633133 h 756398"/>
                  <a:gd name="connsiteX11" fmla="*/ 2046941 w 2282264"/>
                  <a:gd name="connsiteY11" fmla="*/ 666751 h 756398"/>
                  <a:gd name="connsiteX12" fmla="*/ 2282264 w 2282264"/>
                  <a:gd name="connsiteY12" fmla="*/ 756398 h 75639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2282264" h="756398">
                    <a:moveTo>
                      <a:pt x="1262529" y="28015"/>
                    </a:moveTo>
                    <a:cubicBezTo>
                      <a:pt x="1208367" y="14007"/>
                      <a:pt x="1154205" y="0"/>
                      <a:pt x="1072029" y="16809"/>
                    </a:cubicBezTo>
                    <a:cubicBezTo>
                      <a:pt x="989853" y="33618"/>
                      <a:pt x="866588" y="121397"/>
                      <a:pt x="769470" y="128868"/>
                    </a:cubicBezTo>
                    <a:cubicBezTo>
                      <a:pt x="672352" y="136339"/>
                      <a:pt x="601382" y="61633"/>
                      <a:pt x="489323" y="61633"/>
                    </a:cubicBezTo>
                    <a:cubicBezTo>
                      <a:pt x="377264" y="61633"/>
                      <a:pt x="168088" y="76574"/>
                      <a:pt x="97117" y="128868"/>
                    </a:cubicBezTo>
                    <a:cubicBezTo>
                      <a:pt x="26147" y="181162"/>
                      <a:pt x="0" y="313766"/>
                      <a:pt x="63500" y="375398"/>
                    </a:cubicBezTo>
                    <a:cubicBezTo>
                      <a:pt x="127000" y="437030"/>
                      <a:pt x="349249" y="481853"/>
                      <a:pt x="478117" y="498662"/>
                    </a:cubicBezTo>
                    <a:cubicBezTo>
                      <a:pt x="606985" y="515471"/>
                      <a:pt x="760132" y="478119"/>
                      <a:pt x="836706" y="476251"/>
                    </a:cubicBezTo>
                    <a:cubicBezTo>
                      <a:pt x="913280" y="474383"/>
                      <a:pt x="883397" y="474383"/>
                      <a:pt x="937559" y="487456"/>
                    </a:cubicBezTo>
                    <a:cubicBezTo>
                      <a:pt x="991721" y="500529"/>
                      <a:pt x="1062691" y="530413"/>
                      <a:pt x="1161676" y="554692"/>
                    </a:cubicBezTo>
                    <a:cubicBezTo>
                      <a:pt x="1260661" y="578972"/>
                      <a:pt x="1383926" y="614457"/>
                      <a:pt x="1531470" y="633133"/>
                    </a:cubicBezTo>
                    <a:cubicBezTo>
                      <a:pt x="1679014" y="651810"/>
                      <a:pt x="1921809" y="646207"/>
                      <a:pt x="2046941" y="666751"/>
                    </a:cubicBezTo>
                    <a:cubicBezTo>
                      <a:pt x="2172073" y="687295"/>
                      <a:pt x="2227168" y="721846"/>
                      <a:pt x="2282264" y="756398"/>
                    </a:cubicBezTo>
                  </a:path>
                </a:pathLst>
              </a:custGeom>
              <a:ln w="1905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en-CA" sz="1100"/>
              </a:p>
            </xdr:txBody>
          </xdr:sp>
          <xdr:sp macro="" textlink="">
            <xdr:nvSpPr>
              <xdr:cNvPr id="18" name="Freeform 17"/>
              <xdr:cNvSpPr/>
            </xdr:nvSpPr>
            <xdr:spPr>
              <a:xfrm flipV="1">
                <a:off x="9681135" y="7397003"/>
                <a:ext cx="2282264" cy="756398"/>
              </a:xfrm>
              <a:custGeom>
                <a:avLst/>
                <a:gdLst>
                  <a:gd name="connsiteX0" fmla="*/ 1262529 w 2282264"/>
                  <a:gd name="connsiteY0" fmla="*/ 28015 h 756398"/>
                  <a:gd name="connsiteX1" fmla="*/ 1072029 w 2282264"/>
                  <a:gd name="connsiteY1" fmla="*/ 16809 h 756398"/>
                  <a:gd name="connsiteX2" fmla="*/ 769470 w 2282264"/>
                  <a:gd name="connsiteY2" fmla="*/ 128868 h 756398"/>
                  <a:gd name="connsiteX3" fmla="*/ 489323 w 2282264"/>
                  <a:gd name="connsiteY3" fmla="*/ 61633 h 756398"/>
                  <a:gd name="connsiteX4" fmla="*/ 97117 w 2282264"/>
                  <a:gd name="connsiteY4" fmla="*/ 128868 h 756398"/>
                  <a:gd name="connsiteX5" fmla="*/ 63500 w 2282264"/>
                  <a:gd name="connsiteY5" fmla="*/ 375398 h 756398"/>
                  <a:gd name="connsiteX6" fmla="*/ 478117 w 2282264"/>
                  <a:gd name="connsiteY6" fmla="*/ 498662 h 756398"/>
                  <a:gd name="connsiteX7" fmla="*/ 836706 w 2282264"/>
                  <a:gd name="connsiteY7" fmla="*/ 476251 h 756398"/>
                  <a:gd name="connsiteX8" fmla="*/ 937559 w 2282264"/>
                  <a:gd name="connsiteY8" fmla="*/ 487456 h 756398"/>
                  <a:gd name="connsiteX9" fmla="*/ 1161676 w 2282264"/>
                  <a:gd name="connsiteY9" fmla="*/ 554692 h 756398"/>
                  <a:gd name="connsiteX10" fmla="*/ 1531470 w 2282264"/>
                  <a:gd name="connsiteY10" fmla="*/ 633133 h 756398"/>
                  <a:gd name="connsiteX11" fmla="*/ 2046941 w 2282264"/>
                  <a:gd name="connsiteY11" fmla="*/ 666751 h 756398"/>
                  <a:gd name="connsiteX12" fmla="*/ 2282264 w 2282264"/>
                  <a:gd name="connsiteY12" fmla="*/ 756398 h 75639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2282264" h="756398">
                    <a:moveTo>
                      <a:pt x="1262529" y="28015"/>
                    </a:moveTo>
                    <a:cubicBezTo>
                      <a:pt x="1208367" y="14007"/>
                      <a:pt x="1154205" y="0"/>
                      <a:pt x="1072029" y="16809"/>
                    </a:cubicBezTo>
                    <a:cubicBezTo>
                      <a:pt x="989853" y="33618"/>
                      <a:pt x="866588" y="121397"/>
                      <a:pt x="769470" y="128868"/>
                    </a:cubicBezTo>
                    <a:cubicBezTo>
                      <a:pt x="672352" y="136339"/>
                      <a:pt x="601382" y="61633"/>
                      <a:pt x="489323" y="61633"/>
                    </a:cubicBezTo>
                    <a:cubicBezTo>
                      <a:pt x="377264" y="61633"/>
                      <a:pt x="168088" y="76574"/>
                      <a:pt x="97117" y="128868"/>
                    </a:cubicBezTo>
                    <a:cubicBezTo>
                      <a:pt x="26147" y="181162"/>
                      <a:pt x="0" y="313766"/>
                      <a:pt x="63500" y="375398"/>
                    </a:cubicBezTo>
                    <a:cubicBezTo>
                      <a:pt x="127000" y="437030"/>
                      <a:pt x="349249" y="481853"/>
                      <a:pt x="478117" y="498662"/>
                    </a:cubicBezTo>
                    <a:cubicBezTo>
                      <a:pt x="606985" y="515471"/>
                      <a:pt x="760132" y="478119"/>
                      <a:pt x="836706" y="476251"/>
                    </a:cubicBezTo>
                    <a:cubicBezTo>
                      <a:pt x="913280" y="474383"/>
                      <a:pt x="883397" y="474383"/>
                      <a:pt x="937559" y="487456"/>
                    </a:cubicBezTo>
                    <a:cubicBezTo>
                      <a:pt x="991721" y="500529"/>
                      <a:pt x="1062691" y="530413"/>
                      <a:pt x="1161676" y="554692"/>
                    </a:cubicBezTo>
                    <a:cubicBezTo>
                      <a:pt x="1260661" y="578972"/>
                      <a:pt x="1383926" y="614457"/>
                      <a:pt x="1531470" y="633133"/>
                    </a:cubicBezTo>
                    <a:cubicBezTo>
                      <a:pt x="1679014" y="651810"/>
                      <a:pt x="1921809" y="646207"/>
                      <a:pt x="2046941" y="666751"/>
                    </a:cubicBezTo>
                    <a:cubicBezTo>
                      <a:pt x="2172073" y="687295"/>
                      <a:pt x="2227168" y="721846"/>
                      <a:pt x="2282264" y="756398"/>
                    </a:cubicBezTo>
                  </a:path>
                </a:pathLst>
              </a:custGeom>
              <a:ln w="1905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en-CA" sz="1100"/>
              </a:p>
            </xdr:txBody>
          </xdr:sp>
        </xdr:grpSp>
        <xdr:cxnSp macro="">
          <xdr:nvCxnSpPr>
            <xdr:cNvPr id="12" name="Straight Connector 11"/>
            <xdr:cNvCxnSpPr/>
          </xdr:nvCxnSpPr>
          <xdr:spPr>
            <a:xfrm>
              <a:off x="612321" y="7788874"/>
              <a:ext cx="3374572" cy="1588"/>
            </a:xfrm>
            <a:prstGeom prst="line">
              <a:avLst/>
            </a:prstGeom>
            <a:ln>
              <a:solidFill>
                <a:schemeClr val="bg1">
                  <a:lumMod val="75000"/>
                </a:schemeClr>
              </a:solidFill>
              <a:prstDash val="lgDashDot"/>
            </a:ln>
          </xdr:spPr>
          <xdr:style>
            <a:lnRef idx="1">
              <a:schemeClr val="accent1"/>
            </a:lnRef>
            <a:fillRef idx="0">
              <a:schemeClr val="accent1"/>
            </a:fillRef>
            <a:effectRef idx="0">
              <a:schemeClr val="accent1"/>
            </a:effectRef>
            <a:fontRef idx="minor">
              <a:schemeClr val="tx1"/>
            </a:fontRef>
          </xdr:style>
        </xdr:cxnSp>
        <xdr:graphicFrame macro="">
          <xdr:nvGraphicFramePr>
            <xdr:cNvPr id="13" name="Chart 12"/>
            <xdr:cNvGraphicFramePr/>
          </xdr:nvGraphicFramePr>
          <xdr:xfrm>
            <a:off x="1516495" y="6970052"/>
            <a:ext cx="2252684" cy="1648055"/>
          </xdr:xfrm>
          <a:graphic>
            <a:graphicData uri="http://schemas.openxmlformats.org/drawingml/2006/chart">
              <c:chart xmlns:c="http://schemas.openxmlformats.org/drawingml/2006/chart" xmlns:r="http://schemas.openxmlformats.org/officeDocument/2006/relationships" r:id="rId3"/>
            </a:graphicData>
          </a:graphic>
        </xdr:graphicFrame>
      </xdr:grpSp>
    </xdr:grpSp>
    <xdr:clientData/>
  </xdr:twoCellAnchor>
  <mc:AlternateContent xmlns:mc="http://schemas.openxmlformats.org/markup-compatibility/2006">
    <mc:Choice xmlns:a14="http://schemas.microsoft.com/office/drawing/2010/main" Requires="a14">
      <xdr:twoCellAnchor editAs="oneCell">
        <xdr:from>
          <xdr:col>6</xdr:col>
          <xdr:colOff>0</xdr:colOff>
          <xdr:row>94</xdr:row>
          <xdr:rowOff>0</xdr:rowOff>
        </xdr:from>
        <xdr:to>
          <xdr:col>8</xdr:col>
          <xdr:colOff>297180</xdr:colOff>
          <xdr:row>95</xdr:row>
          <xdr:rowOff>30480</xdr:rowOff>
        </xdr:to>
        <xdr:sp macro="" textlink="">
          <xdr:nvSpPr>
            <xdr:cNvPr id="1056770" name="Scroll Bar 2" hidden="1">
              <a:extLst>
                <a:ext uri="{63B3BB69-23CF-44E3-9099-C40C66FF867C}">
                  <a14:compatExt spid="_x0000_s105677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91</xdr:row>
          <xdr:rowOff>0</xdr:rowOff>
        </xdr:from>
        <xdr:to>
          <xdr:col>8</xdr:col>
          <xdr:colOff>312420</xdr:colOff>
          <xdr:row>92</xdr:row>
          <xdr:rowOff>30480</xdr:rowOff>
        </xdr:to>
        <xdr:sp macro="" textlink="">
          <xdr:nvSpPr>
            <xdr:cNvPr id="1056771" name="Scroll Bar 3" hidden="1">
              <a:extLst>
                <a:ext uri="{63B3BB69-23CF-44E3-9099-C40C66FF867C}">
                  <a14:compatExt spid="_x0000_s1056771"/>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100</xdr:row>
          <xdr:rowOff>0</xdr:rowOff>
        </xdr:from>
        <xdr:to>
          <xdr:col>8</xdr:col>
          <xdr:colOff>312420</xdr:colOff>
          <xdr:row>101</xdr:row>
          <xdr:rowOff>30480</xdr:rowOff>
        </xdr:to>
        <xdr:sp macro="" textlink="">
          <xdr:nvSpPr>
            <xdr:cNvPr id="1056772" name="Scroll Bar 4" hidden="1">
              <a:extLst>
                <a:ext uri="{63B3BB69-23CF-44E3-9099-C40C66FF867C}">
                  <a14:compatExt spid="_x0000_s1056772"/>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103</xdr:row>
          <xdr:rowOff>0</xdr:rowOff>
        </xdr:from>
        <xdr:to>
          <xdr:col>8</xdr:col>
          <xdr:colOff>312420</xdr:colOff>
          <xdr:row>104</xdr:row>
          <xdr:rowOff>30480</xdr:rowOff>
        </xdr:to>
        <xdr:sp macro="" textlink="">
          <xdr:nvSpPr>
            <xdr:cNvPr id="1056773" name="Scroll Bar 5" hidden="1">
              <a:extLst>
                <a:ext uri="{63B3BB69-23CF-44E3-9099-C40C66FF867C}">
                  <a14:compatExt spid="_x0000_s1056773"/>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97</xdr:row>
          <xdr:rowOff>0</xdr:rowOff>
        </xdr:from>
        <xdr:to>
          <xdr:col>8</xdr:col>
          <xdr:colOff>312420</xdr:colOff>
          <xdr:row>98</xdr:row>
          <xdr:rowOff>30480</xdr:rowOff>
        </xdr:to>
        <xdr:sp macro="" textlink="">
          <xdr:nvSpPr>
            <xdr:cNvPr id="1056774" name="Scroll Bar 6" hidden="1">
              <a:extLst>
                <a:ext uri="{63B3BB69-23CF-44E3-9099-C40C66FF867C}">
                  <a14:compatExt spid="_x0000_s1056774"/>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xdr:from>
      <xdr:col>0</xdr:col>
      <xdr:colOff>40822</xdr:colOff>
      <xdr:row>7</xdr:row>
      <xdr:rowOff>40821</xdr:rowOff>
    </xdr:from>
    <xdr:to>
      <xdr:col>4</xdr:col>
      <xdr:colOff>66675</xdr:colOff>
      <xdr:row>10</xdr:row>
      <xdr:rowOff>145236</xdr:rowOff>
    </xdr:to>
    <xdr:grpSp>
      <xdr:nvGrpSpPr>
        <xdr:cNvPr id="66" name="Group 65"/>
        <xdr:cNvGrpSpPr/>
      </xdr:nvGrpSpPr>
      <xdr:grpSpPr>
        <a:xfrm>
          <a:off x="40822" y="1260021"/>
          <a:ext cx="2540453" cy="626929"/>
          <a:chOff x="40822" y="1267641"/>
          <a:chExt cx="2570933" cy="630195"/>
        </a:xfrm>
      </xdr:grpSpPr>
      <xdr:pic>
        <xdr:nvPicPr>
          <xdr:cNvPr id="67" name="Picture 66">
            <a:hlinkClick xmlns:r="http://schemas.openxmlformats.org/officeDocument/2006/relationships" r:id="rId4"/>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68" name="Picture 67" descr="PayPal - The safer, easier way to pay online!">
            <a:hlinkClick xmlns:r="http://schemas.openxmlformats.org/officeDocument/2006/relationships" r:id="rId6"/>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40822</xdr:colOff>
      <xdr:row>60</xdr:row>
      <xdr:rowOff>40821</xdr:rowOff>
    </xdr:from>
    <xdr:to>
      <xdr:col>4</xdr:col>
      <xdr:colOff>66675</xdr:colOff>
      <xdr:row>63</xdr:row>
      <xdr:rowOff>145236</xdr:rowOff>
    </xdr:to>
    <xdr:grpSp>
      <xdr:nvGrpSpPr>
        <xdr:cNvPr id="69" name="Group 68"/>
        <xdr:cNvGrpSpPr/>
      </xdr:nvGrpSpPr>
      <xdr:grpSpPr>
        <a:xfrm>
          <a:off x="40822" y="10512878"/>
          <a:ext cx="2540453" cy="626929"/>
          <a:chOff x="40822" y="1267641"/>
          <a:chExt cx="2570933" cy="630195"/>
        </a:xfrm>
      </xdr:grpSpPr>
      <xdr:pic>
        <xdr:nvPicPr>
          <xdr:cNvPr id="70" name="Picture 69">
            <a:hlinkClick xmlns:r="http://schemas.openxmlformats.org/officeDocument/2006/relationships" r:id="rId4"/>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71" name="Picture 70" descr="PayPal - The safer, easier way to pay online!">
            <a:hlinkClick xmlns:r="http://schemas.openxmlformats.org/officeDocument/2006/relationships" r:id="rId6"/>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40822</xdr:colOff>
      <xdr:row>113</xdr:row>
      <xdr:rowOff>40821</xdr:rowOff>
    </xdr:from>
    <xdr:to>
      <xdr:col>4</xdr:col>
      <xdr:colOff>66675</xdr:colOff>
      <xdr:row>116</xdr:row>
      <xdr:rowOff>145236</xdr:rowOff>
    </xdr:to>
    <xdr:grpSp>
      <xdr:nvGrpSpPr>
        <xdr:cNvPr id="72" name="Group 71"/>
        <xdr:cNvGrpSpPr/>
      </xdr:nvGrpSpPr>
      <xdr:grpSpPr>
        <a:xfrm>
          <a:off x="40822" y="19765735"/>
          <a:ext cx="2540453" cy="626930"/>
          <a:chOff x="40822" y="1267641"/>
          <a:chExt cx="2570933" cy="630195"/>
        </a:xfrm>
      </xdr:grpSpPr>
      <xdr:pic>
        <xdr:nvPicPr>
          <xdr:cNvPr id="73" name="Picture 72">
            <a:hlinkClick xmlns:r="http://schemas.openxmlformats.org/officeDocument/2006/relationships" r:id="rId4"/>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74" name="Picture 73" descr="PayPal - The safer, easier way to pay online!">
            <a:hlinkClick xmlns:r="http://schemas.openxmlformats.org/officeDocument/2006/relationships" r:id="rId6"/>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xml"/><Relationship Id="rId13" Type="http://schemas.openxmlformats.org/officeDocument/2006/relationships/comments" Target="../comments1.xml"/><Relationship Id="rId3" Type="http://schemas.openxmlformats.org/officeDocument/2006/relationships/hyperlink" Target="http://www.xl-viking.com/" TargetMode="External"/><Relationship Id="rId7" Type="http://schemas.openxmlformats.org/officeDocument/2006/relationships/vmlDrawing" Target="../drawings/vmlDrawing3.vml"/><Relationship Id="rId12" Type="http://schemas.openxmlformats.org/officeDocument/2006/relationships/ctrlProp" Target="../ctrlProps/ctrlProp5.xml"/><Relationship Id="rId2" Type="http://schemas.openxmlformats.org/officeDocument/2006/relationships/hyperlink" Target="http://www.xl-viking.com/" TargetMode="External"/><Relationship Id="rId1" Type="http://schemas.openxmlformats.org/officeDocument/2006/relationships/hyperlink" Target="http://www.xl-viking.com/" TargetMode="External"/><Relationship Id="rId6" Type="http://schemas.openxmlformats.org/officeDocument/2006/relationships/vmlDrawing" Target="../drawings/vmlDrawing2.vml"/><Relationship Id="rId11" Type="http://schemas.openxmlformats.org/officeDocument/2006/relationships/ctrlProp" Target="../ctrlProps/ctrlProp4.xml"/><Relationship Id="rId5" Type="http://schemas.openxmlformats.org/officeDocument/2006/relationships/drawing" Target="../drawings/drawing2.xml"/><Relationship Id="rId10" Type="http://schemas.openxmlformats.org/officeDocument/2006/relationships/ctrlProp" Target="../ctrlProps/ctrlProp3.xml"/><Relationship Id="rId4" Type="http://schemas.openxmlformats.org/officeDocument/2006/relationships/printerSettings" Target="../printerSettings/printerSettings2.bin"/><Relationship Id="rId9"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zoomScale="70" zoomScaleNormal="100" zoomScaleSheetLayoutView="70" workbookViewId="0">
      <selection activeCell="C4" sqref="C4"/>
    </sheetView>
  </sheetViews>
  <sheetFormatPr defaultColWidth="9.109375" defaultRowHeight="15.6"/>
  <cols>
    <col min="1" max="2" width="9.109375" style="12"/>
    <col min="3" max="3" width="10.6640625" style="12" bestFit="1" customWidth="1"/>
    <col min="4" max="11" width="9.109375" style="12"/>
    <col min="12" max="12" width="5.44140625" style="2" customWidth="1"/>
    <col min="13" max="17" width="5.33203125" style="202" customWidth="1"/>
    <col min="18" max="19" width="5.33203125" style="203" customWidth="1"/>
    <col min="20" max="25" width="9.109375" style="205"/>
    <col min="26" max="16384" width="9.109375" style="12"/>
  </cols>
  <sheetData>
    <row r="1" spans="1:25" s="2" customFormat="1" ht="13.8">
      <c r="A1" s="178"/>
      <c r="B1" s="179" t="s">
        <v>1</v>
      </c>
      <c r="C1" s="180" t="s">
        <v>0</v>
      </c>
      <c r="D1" s="178"/>
      <c r="E1" s="178"/>
      <c r="F1" s="179" t="s">
        <v>14</v>
      </c>
      <c r="G1" s="181"/>
      <c r="H1" s="178"/>
      <c r="I1" s="178"/>
      <c r="J1" s="178"/>
      <c r="K1" s="178"/>
      <c r="M1" s="198"/>
      <c r="N1" s="198"/>
      <c r="O1" s="198"/>
      <c r="P1" s="198"/>
      <c r="Q1" s="198"/>
      <c r="R1" s="198"/>
      <c r="S1" s="198"/>
      <c r="T1" s="199"/>
      <c r="U1" s="199"/>
      <c r="V1" s="199"/>
      <c r="W1" s="200"/>
      <c r="X1" s="201"/>
      <c r="Y1" s="199"/>
    </row>
    <row r="2" spans="1:25" s="2" customFormat="1" ht="13.8">
      <c r="A2" s="178"/>
      <c r="B2" s="179" t="s">
        <v>2</v>
      </c>
      <c r="C2" s="180" t="s">
        <v>10</v>
      </c>
      <c r="D2" s="178"/>
      <c r="E2" s="178"/>
      <c r="F2" s="179" t="s">
        <v>5</v>
      </c>
      <c r="G2" s="180"/>
      <c r="H2" s="178"/>
      <c r="I2" s="178"/>
      <c r="J2" s="178"/>
      <c r="K2" s="178"/>
      <c r="M2" s="198"/>
      <c r="N2" s="198"/>
      <c r="O2" s="198"/>
      <c r="P2" s="198"/>
      <c r="Q2" s="198"/>
      <c r="R2" s="198"/>
      <c r="S2" s="198"/>
      <c r="T2" s="199"/>
      <c r="U2" s="199"/>
      <c r="V2" s="199"/>
      <c r="W2" s="200"/>
      <c r="X2" s="201"/>
      <c r="Y2" s="199"/>
    </row>
    <row r="3" spans="1:25" s="2" customFormat="1" ht="13.8">
      <c r="A3" s="178"/>
      <c r="B3" s="179" t="s">
        <v>3</v>
      </c>
      <c r="C3" s="182"/>
      <c r="D3" s="178"/>
      <c r="E3" s="178"/>
      <c r="F3" s="179" t="s">
        <v>4</v>
      </c>
      <c r="G3" s="180"/>
      <c r="H3" s="178"/>
      <c r="I3" s="178"/>
      <c r="J3" s="178"/>
      <c r="K3" s="178"/>
      <c r="M3" s="198"/>
      <c r="N3" s="198"/>
      <c r="O3" s="198"/>
      <c r="P3" s="198"/>
      <c r="Q3" s="198"/>
      <c r="R3" s="198"/>
      <c r="S3" s="198"/>
      <c r="T3" s="199"/>
      <c r="U3" s="199"/>
      <c r="V3" s="199"/>
      <c r="W3" s="200"/>
      <c r="X3" s="201"/>
      <c r="Y3" s="199"/>
    </row>
    <row r="4" spans="1:25" s="2" customFormat="1" ht="13.8">
      <c r="A4" s="178"/>
      <c r="B4" s="179" t="s">
        <v>21</v>
      </c>
      <c r="C4" s="181"/>
      <c r="D4" s="178"/>
      <c r="E4" s="178"/>
      <c r="F4" s="179" t="s">
        <v>22</v>
      </c>
      <c r="G4" s="180" t="s">
        <v>185</v>
      </c>
      <c r="H4" s="178"/>
      <c r="I4" s="178"/>
      <c r="J4" s="178"/>
      <c r="K4" s="178"/>
      <c r="M4" s="198"/>
      <c r="N4" s="198"/>
      <c r="O4" s="198"/>
      <c r="P4" s="198"/>
      <c r="Q4" s="202"/>
      <c r="R4" s="203"/>
      <c r="S4" s="203"/>
      <c r="T4" s="199"/>
      <c r="U4" s="199"/>
      <c r="V4" s="199"/>
      <c r="W4" s="200"/>
      <c r="X4" s="201"/>
      <c r="Y4" s="199"/>
    </row>
    <row r="5" spans="1:25" s="2" customFormat="1" ht="13.8">
      <c r="A5" s="178"/>
      <c r="B5" s="179" t="s">
        <v>23</v>
      </c>
      <c r="C5" s="181"/>
      <c r="D5" s="178"/>
      <c r="E5" s="179"/>
      <c r="F5" s="178"/>
      <c r="G5" s="178"/>
      <c r="H5" s="178"/>
      <c r="I5" s="178"/>
      <c r="J5" s="178"/>
      <c r="K5" s="178"/>
      <c r="M5" s="198"/>
      <c r="N5" s="198"/>
      <c r="O5" s="198"/>
      <c r="P5" s="198"/>
      <c r="Q5" s="202"/>
      <c r="R5" s="203"/>
      <c r="S5" s="203"/>
      <c r="T5" s="199"/>
      <c r="U5" s="199"/>
      <c r="V5" s="199"/>
      <c r="W5" s="200"/>
      <c r="X5" s="201"/>
      <c r="Y5" s="199"/>
    </row>
    <row r="6" spans="1:25" s="2" customFormat="1" ht="13.8">
      <c r="A6" s="178"/>
      <c r="B6" s="178" t="s">
        <v>7</v>
      </c>
      <c r="C6" s="183"/>
      <c r="D6" s="178"/>
      <c r="E6" s="178"/>
      <c r="F6" s="178"/>
      <c r="G6" s="178"/>
      <c r="H6" s="178"/>
      <c r="I6" s="178"/>
      <c r="J6" s="178"/>
      <c r="K6" s="178"/>
      <c r="M6" s="198"/>
      <c r="N6" s="198"/>
      <c r="O6" s="198"/>
      <c r="P6" s="198"/>
      <c r="Q6" s="202"/>
      <c r="R6" s="203"/>
      <c r="S6" s="203"/>
      <c r="T6" s="199"/>
      <c r="U6" s="199"/>
      <c r="V6" s="199"/>
      <c r="W6" s="200"/>
      <c r="X6" s="201"/>
      <c r="Y6" s="199"/>
    </row>
    <row r="7" spans="1:25" s="2" customFormat="1" ht="13.8">
      <c r="A7" s="178"/>
      <c r="B7" s="178"/>
      <c r="C7" s="178"/>
      <c r="D7" s="178"/>
      <c r="E7" s="178"/>
      <c r="F7" s="178"/>
      <c r="G7" s="178"/>
      <c r="H7" s="178"/>
      <c r="I7" s="178"/>
      <c r="J7" s="178"/>
      <c r="K7" s="178"/>
      <c r="M7" s="198"/>
      <c r="N7" s="198"/>
      <c r="O7" s="198"/>
      <c r="P7" s="198"/>
      <c r="Q7" s="202"/>
      <c r="R7" s="203"/>
      <c r="S7" s="203"/>
      <c r="T7" s="199"/>
      <c r="U7" s="199"/>
      <c r="V7" s="199"/>
      <c r="W7" s="200"/>
      <c r="X7" s="201"/>
      <c r="Y7" s="199"/>
    </row>
    <row r="8" spans="1:25" s="2" customFormat="1" ht="13.8">
      <c r="A8" s="184"/>
      <c r="E8" s="3"/>
      <c r="F8" s="5"/>
      <c r="H8" s="4"/>
      <c r="I8" s="3"/>
      <c r="J8" s="9"/>
      <c r="K8" s="10"/>
      <c r="L8" s="1"/>
      <c r="M8" s="198"/>
      <c r="N8" s="198"/>
      <c r="O8" s="198"/>
      <c r="P8" s="198"/>
      <c r="Q8" s="202"/>
      <c r="R8" s="203"/>
      <c r="S8" s="203"/>
      <c r="T8" s="199"/>
      <c r="U8" s="199"/>
      <c r="V8" s="199"/>
      <c r="W8" s="199"/>
      <c r="X8" s="199"/>
      <c r="Y8" s="199"/>
    </row>
    <row r="9" spans="1:25" s="2" customFormat="1" ht="13.8">
      <c r="E9" s="3"/>
      <c r="F9" s="4"/>
      <c r="H9" s="4"/>
      <c r="I9" s="3"/>
      <c r="J9" s="10"/>
      <c r="K9" s="10"/>
      <c r="L9" s="1"/>
      <c r="M9" s="198"/>
      <c r="N9" s="198"/>
      <c r="O9" s="198"/>
      <c r="P9" s="198"/>
      <c r="Q9" s="202"/>
      <c r="R9" s="203"/>
      <c r="S9" s="203"/>
      <c r="T9" s="199"/>
      <c r="U9" s="199"/>
      <c r="V9" s="199"/>
      <c r="W9" s="199"/>
      <c r="X9" s="199"/>
      <c r="Y9" s="199"/>
    </row>
    <row r="10" spans="1:25" s="2" customFormat="1" ht="13.8">
      <c r="E10" s="3"/>
      <c r="F10" s="4"/>
      <c r="H10" s="4"/>
      <c r="I10" s="3"/>
      <c r="J10" s="5"/>
      <c r="K10" s="4"/>
      <c r="L10" s="1"/>
      <c r="M10" s="198"/>
      <c r="N10" s="198"/>
      <c r="O10" s="198"/>
      <c r="P10" s="198"/>
      <c r="Q10" s="202"/>
      <c r="R10" s="203"/>
      <c r="S10" s="203"/>
      <c r="T10" s="199"/>
      <c r="U10" s="199"/>
      <c r="V10" s="199"/>
      <c r="W10" s="199"/>
      <c r="X10" s="199"/>
      <c r="Y10" s="199"/>
    </row>
    <row r="11" spans="1:25" s="2" customFormat="1" ht="13.8">
      <c r="E11" s="3"/>
      <c r="F11" s="4"/>
      <c r="I11" s="11"/>
      <c r="J11" s="5"/>
      <c r="M11" s="198"/>
      <c r="N11" s="198"/>
      <c r="O11" s="198"/>
      <c r="P11" s="198"/>
      <c r="Q11" s="198"/>
      <c r="R11" s="198"/>
      <c r="S11" s="198"/>
      <c r="T11" s="199"/>
      <c r="U11" s="199"/>
      <c r="V11" s="199"/>
      <c r="W11" s="199"/>
      <c r="X11" s="199"/>
      <c r="Y11" s="199"/>
    </row>
    <row r="12" spans="1:25">
      <c r="C12" s="13" t="str">
        <f>G4</f>
        <v>IMPORTANT INFORMATION</v>
      </c>
      <c r="M12" s="198"/>
      <c r="N12" s="198"/>
      <c r="O12" s="198"/>
      <c r="P12" s="198"/>
      <c r="Q12" s="204"/>
      <c r="R12" s="204"/>
      <c r="S12" s="204"/>
    </row>
    <row r="13" spans="1:25" s="2" customFormat="1" ht="13.8">
      <c r="M13" s="198"/>
      <c r="N13" s="198"/>
      <c r="O13" s="198"/>
      <c r="P13" s="198"/>
      <c r="Q13" s="198"/>
      <c r="R13" s="198"/>
      <c r="S13" s="198"/>
      <c r="T13" s="199"/>
      <c r="U13" s="199"/>
      <c r="V13" s="199"/>
      <c r="W13" s="199"/>
      <c r="X13" s="199"/>
      <c r="Y13" s="199"/>
    </row>
    <row r="14" spans="1:25" s="2" customFormat="1" ht="13.8">
      <c r="B14" s="185" t="s">
        <v>186</v>
      </c>
      <c r="M14" s="198"/>
      <c r="N14" s="198"/>
      <c r="O14" s="198"/>
      <c r="P14" s="198"/>
      <c r="Q14" s="198"/>
      <c r="R14" s="198"/>
      <c r="S14" s="198"/>
      <c r="T14" s="199"/>
      <c r="U14" s="199"/>
      <c r="V14" s="199"/>
      <c r="W14" s="199"/>
      <c r="X14" s="199"/>
      <c r="Y14" s="199"/>
    </row>
    <row r="15" spans="1:25" s="2" customFormat="1" ht="13.8">
      <c r="A15" s="17"/>
      <c r="K15" s="17"/>
      <c r="M15" s="202"/>
      <c r="N15" s="202"/>
      <c r="O15" s="202"/>
      <c r="P15" s="202"/>
      <c r="Q15" s="202"/>
      <c r="R15" s="203"/>
      <c r="S15" s="203"/>
      <c r="T15" s="199"/>
      <c r="U15" s="199"/>
      <c r="V15" s="199"/>
      <c r="W15" s="199"/>
      <c r="X15" s="199"/>
      <c r="Y15" s="199"/>
    </row>
    <row r="16" spans="1:25" s="2" customFormat="1" ht="12.75" customHeight="1">
      <c r="B16" s="210" t="s">
        <v>196</v>
      </c>
      <c r="C16" s="210"/>
      <c r="D16" s="210"/>
      <c r="E16" s="210"/>
      <c r="F16" s="210"/>
      <c r="G16" s="210"/>
      <c r="H16" s="210"/>
      <c r="I16" s="210"/>
      <c r="J16" s="210"/>
      <c r="M16" s="202"/>
      <c r="N16" s="202"/>
      <c r="O16" s="202"/>
      <c r="P16" s="202"/>
      <c r="Q16" s="202"/>
      <c r="R16" s="203"/>
      <c r="S16" s="203"/>
      <c r="T16" s="199"/>
      <c r="U16" s="199"/>
      <c r="V16" s="199"/>
      <c r="W16" s="199"/>
      <c r="X16" s="199"/>
      <c r="Y16" s="199"/>
    </row>
    <row r="17" spans="1:25" s="2" customFormat="1" ht="13.8">
      <c r="B17" s="210"/>
      <c r="C17" s="210"/>
      <c r="D17" s="210"/>
      <c r="E17" s="210"/>
      <c r="F17" s="210"/>
      <c r="G17" s="210"/>
      <c r="H17" s="210"/>
      <c r="I17" s="210"/>
      <c r="J17" s="210"/>
      <c r="M17" s="202"/>
      <c r="N17" s="202"/>
      <c r="O17" s="202"/>
      <c r="P17" s="202"/>
      <c r="Q17" s="202"/>
      <c r="R17" s="203"/>
      <c r="S17" s="203"/>
      <c r="T17" s="199"/>
      <c r="U17" s="199"/>
      <c r="V17" s="199"/>
      <c r="W17" s="199"/>
      <c r="X17" s="199"/>
      <c r="Y17" s="199"/>
    </row>
    <row r="18" spans="1:25" s="2" customFormat="1" ht="13.8">
      <c r="B18" s="210"/>
      <c r="C18" s="210"/>
      <c r="D18" s="210"/>
      <c r="E18" s="210"/>
      <c r="F18" s="210"/>
      <c r="G18" s="210"/>
      <c r="H18" s="210"/>
      <c r="I18" s="210"/>
      <c r="J18" s="210"/>
      <c r="M18" s="202"/>
      <c r="N18" s="202"/>
      <c r="O18" s="202"/>
      <c r="P18" s="202"/>
      <c r="Q18" s="202"/>
      <c r="R18" s="203"/>
      <c r="S18" s="203"/>
      <c r="T18" s="199"/>
      <c r="U18" s="199"/>
      <c r="V18" s="199"/>
      <c r="W18" s="199"/>
      <c r="X18" s="199"/>
      <c r="Y18" s="199"/>
    </row>
    <row r="19" spans="1:25" s="2" customFormat="1" ht="13.8">
      <c r="B19" s="210"/>
      <c r="C19" s="210"/>
      <c r="D19" s="210"/>
      <c r="E19" s="210"/>
      <c r="F19" s="210"/>
      <c r="G19" s="210"/>
      <c r="H19" s="210"/>
      <c r="I19" s="210"/>
      <c r="J19" s="210"/>
      <c r="M19" s="202"/>
      <c r="N19" s="202"/>
      <c r="O19" s="202"/>
      <c r="P19" s="202"/>
      <c r="Q19" s="202"/>
      <c r="R19" s="203"/>
      <c r="S19" s="203"/>
      <c r="T19" s="199"/>
      <c r="U19" s="199"/>
      <c r="V19" s="199"/>
      <c r="W19" s="199"/>
      <c r="X19" s="199"/>
      <c r="Y19" s="199"/>
    </row>
    <row r="20" spans="1:25" s="2" customFormat="1" ht="12.75" customHeight="1">
      <c r="A20" s="17"/>
      <c r="B20" s="186" t="s">
        <v>194</v>
      </c>
      <c r="C20" s="17"/>
      <c r="D20" s="17"/>
      <c r="E20" s="17"/>
      <c r="F20" s="17"/>
      <c r="G20" s="17"/>
      <c r="H20" s="17"/>
      <c r="I20" s="17"/>
      <c r="J20" s="17"/>
      <c r="K20" s="17"/>
      <c r="M20" s="202"/>
      <c r="N20" s="202"/>
      <c r="O20" s="202"/>
      <c r="P20" s="202"/>
      <c r="Q20" s="202"/>
      <c r="R20" s="203"/>
      <c r="S20" s="203"/>
      <c r="T20" s="199"/>
      <c r="U20" s="199"/>
      <c r="V20" s="199"/>
      <c r="W20" s="199"/>
      <c r="X20" s="199"/>
      <c r="Y20" s="199"/>
    </row>
    <row r="21" spans="1:25" s="2" customFormat="1" ht="13.8">
      <c r="A21" s="17"/>
      <c r="B21" s="186"/>
      <c r="C21" s="17"/>
      <c r="D21" s="17"/>
      <c r="E21" s="17"/>
      <c r="F21" s="17"/>
      <c r="G21" s="17"/>
      <c r="H21" s="17"/>
      <c r="I21" s="17"/>
      <c r="J21" s="17"/>
      <c r="K21" s="17"/>
      <c r="M21" s="202"/>
      <c r="N21" s="202"/>
      <c r="O21" s="202"/>
      <c r="P21" s="202"/>
      <c r="Q21" s="202"/>
      <c r="R21" s="203"/>
      <c r="S21" s="203"/>
      <c r="T21" s="199"/>
      <c r="U21" s="199"/>
      <c r="V21" s="199"/>
      <c r="W21" s="199"/>
      <c r="X21" s="199"/>
      <c r="Y21" s="199"/>
    </row>
    <row r="22" spans="1:25" s="2" customFormat="1" ht="13.8">
      <c r="A22" s="17"/>
      <c r="B22" s="210" t="s">
        <v>197</v>
      </c>
      <c r="C22" s="210"/>
      <c r="D22" s="210"/>
      <c r="E22" s="210"/>
      <c r="F22" s="210"/>
      <c r="G22" s="210"/>
      <c r="H22" s="210"/>
      <c r="I22" s="210"/>
      <c r="J22" s="210"/>
      <c r="K22" s="17"/>
      <c r="M22" s="202"/>
      <c r="N22" s="202"/>
      <c r="O22" s="202"/>
      <c r="P22" s="202"/>
      <c r="Q22" s="202"/>
      <c r="R22" s="203"/>
      <c r="S22" s="203"/>
      <c r="T22" s="199"/>
      <c r="U22" s="199"/>
      <c r="V22" s="199"/>
      <c r="W22" s="199"/>
      <c r="X22" s="199"/>
      <c r="Y22" s="199"/>
    </row>
    <row r="23" spans="1:25" s="2" customFormat="1" ht="13.8">
      <c r="A23" s="17"/>
      <c r="B23" s="210"/>
      <c r="C23" s="210"/>
      <c r="D23" s="210"/>
      <c r="E23" s="210"/>
      <c r="F23" s="210"/>
      <c r="G23" s="210"/>
      <c r="H23" s="210"/>
      <c r="I23" s="210"/>
      <c r="J23" s="210"/>
      <c r="K23" s="17"/>
      <c r="M23" s="202"/>
      <c r="N23" s="202"/>
      <c r="O23" s="202"/>
      <c r="P23" s="202"/>
      <c r="Q23" s="202"/>
      <c r="R23" s="203"/>
      <c r="S23" s="206"/>
      <c r="T23" s="199"/>
      <c r="U23" s="199"/>
      <c r="V23" s="199"/>
      <c r="W23" s="199"/>
      <c r="X23" s="199"/>
      <c r="Y23" s="199"/>
    </row>
    <row r="24" spans="1:25" s="2" customFormat="1" ht="13.8">
      <c r="A24" s="17"/>
      <c r="B24" s="210"/>
      <c r="C24" s="210"/>
      <c r="D24" s="210"/>
      <c r="E24" s="210"/>
      <c r="F24" s="210"/>
      <c r="G24" s="210"/>
      <c r="H24" s="210"/>
      <c r="I24" s="210"/>
      <c r="J24" s="210"/>
      <c r="K24" s="17"/>
      <c r="M24" s="202"/>
      <c r="N24" s="202"/>
      <c r="O24" s="202"/>
      <c r="P24" s="202"/>
      <c r="Q24" s="202"/>
      <c r="R24" s="203"/>
      <c r="S24" s="206"/>
      <c r="T24" s="199"/>
      <c r="U24" s="199"/>
      <c r="V24" s="199"/>
      <c r="W24" s="199"/>
      <c r="X24" s="199"/>
      <c r="Y24" s="199"/>
    </row>
    <row r="25" spans="1:25" s="2" customFormat="1" ht="12.75" customHeight="1">
      <c r="A25" s="17"/>
      <c r="B25" s="208"/>
      <c r="C25" s="208"/>
      <c r="D25" s="208"/>
      <c r="E25" s="208"/>
      <c r="F25" s="216" t="s">
        <v>198</v>
      </c>
      <c r="G25" s="208"/>
      <c r="H25" s="208"/>
      <c r="I25" s="208"/>
      <c r="J25" s="208"/>
      <c r="K25" s="17"/>
      <c r="M25" s="202"/>
      <c r="N25" s="202"/>
      <c r="O25" s="202"/>
      <c r="P25" s="202"/>
      <c r="Q25" s="202"/>
      <c r="R25" s="203"/>
      <c r="S25" s="203"/>
      <c r="T25" s="199"/>
      <c r="U25" s="199"/>
      <c r="V25" s="199"/>
      <c r="W25" s="199"/>
      <c r="X25" s="199"/>
      <c r="Y25" s="199"/>
    </row>
    <row r="26" spans="1:25" s="2" customFormat="1" ht="13.8">
      <c r="A26" s="17"/>
      <c r="B26" s="210" t="s">
        <v>199</v>
      </c>
      <c r="C26" s="210"/>
      <c r="D26" s="210"/>
      <c r="E26" s="210"/>
      <c r="F26" s="210"/>
      <c r="G26" s="210"/>
      <c r="H26" s="210"/>
      <c r="I26" s="210"/>
      <c r="J26" s="210"/>
      <c r="K26" s="17"/>
      <c r="M26" s="202"/>
      <c r="N26" s="202"/>
      <c r="O26" s="202"/>
      <c r="P26" s="202"/>
      <c r="Q26" s="202"/>
      <c r="R26" s="203"/>
      <c r="S26" s="203"/>
      <c r="T26" s="199"/>
      <c r="U26" s="199"/>
      <c r="V26" s="199"/>
      <c r="W26" s="199"/>
      <c r="X26" s="199"/>
      <c r="Y26" s="199"/>
    </row>
    <row r="27" spans="1:25" s="2" customFormat="1" ht="13.8">
      <c r="A27" s="17"/>
      <c r="B27" s="210"/>
      <c r="C27" s="210"/>
      <c r="D27" s="210"/>
      <c r="E27" s="210"/>
      <c r="F27" s="210"/>
      <c r="G27" s="210"/>
      <c r="H27" s="210"/>
      <c r="I27" s="210"/>
      <c r="J27" s="210"/>
      <c r="K27" s="17"/>
      <c r="M27" s="202"/>
      <c r="N27" s="202"/>
      <c r="O27" s="202"/>
      <c r="P27" s="202"/>
      <c r="Q27" s="202"/>
      <c r="R27" s="203"/>
      <c r="S27" s="203"/>
      <c r="T27" s="199"/>
      <c r="U27" s="199"/>
      <c r="V27" s="199"/>
      <c r="W27" s="199"/>
      <c r="X27" s="199"/>
      <c r="Y27" s="199"/>
    </row>
    <row r="28" spans="1:25" s="2" customFormat="1" ht="13.8">
      <c r="A28" s="17"/>
      <c r="B28" s="208"/>
      <c r="C28" s="208"/>
      <c r="D28" s="208"/>
      <c r="E28" s="208"/>
      <c r="F28" s="208"/>
      <c r="G28" s="208"/>
      <c r="H28" s="208"/>
      <c r="I28" s="208"/>
      <c r="J28" s="208"/>
      <c r="K28" s="17"/>
      <c r="M28" s="202"/>
      <c r="N28" s="202"/>
      <c r="O28" s="202"/>
      <c r="P28" s="202"/>
      <c r="Q28" s="202"/>
      <c r="R28" s="203"/>
      <c r="S28" s="203"/>
      <c r="T28" s="199"/>
      <c r="U28" s="199"/>
      <c r="V28" s="199"/>
      <c r="W28" s="199"/>
      <c r="X28" s="199"/>
      <c r="Y28" s="199"/>
    </row>
    <row r="29" spans="1:25" s="2" customFormat="1" ht="13.8">
      <c r="A29" s="17"/>
      <c r="B29" s="210" t="s">
        <v>200</v>
      </c>
      <c r="C29" s="210"/>
      <c r="D29" s="210"/>
      <c r="E29" s="210"/>
      <c r="F29" s="210"/>
      <c r="G29" s="210"/>
      <c r="H29" s="210"/>
      <c r="I29" s="210"/>
      <c r="J29" s="210"/>
      <c r="K29" s="17"/>
      <c r="M29" s="202"/>
      <c r="N29" s="202"/>
      <c r="O29" s="202"/>
      <c r="P29" s="202"/>
      <c r="Q29" s="202"/>
      <c r="R29" s="203"/>
      <c r="S29" s="203"/>
      <c r="T29" s="199"/>
      <c r="U29" s="199"/>
      <c r="V29" s="199"/>
      <c r="W29" s="199"/>
      <c r="X29" s="199"/>
      <c r="Y29" s="199"/>
    </row>
    <row r="30" spans="1:25" s="2" customFormat="1" ht="13.8">
      <c r="A30" s="17"/>
      <c r="B30" s="210"/>
      <c r="C30" s="210"/>
      <c r="D30" s="210"/>
      <c r="E30" s="210"/>
      <c r="F30" s="210"/>
      <c r="G30" s="210"/>
      <c r="H30" s="210"/>
      <c r="I30" s="210"/>
      <c r="J30" s="210"/>
      <c r="K30" s="17"/>
      <c r="M30" s="202"/>
      <c r="N30" s="202"/>
      <c r="O30" s="202"/>
      <c r="P30" s="202"/>
      <c r="Q30" s="202"/>
      <c r="R30" s="203"/>
      <c r="S30" s="203"/>
      <c r="T30" s="199"/>
      <c r="U30" s="199"/>
      <c r="V30" s="199"/>
      <c r="W30" s="199"/>
      <c r="X30" s="199"/>
      <c r="Y30" s="199"/>
    </row>
    <row r="31" spans="1:25" s="2" customFormat="1" ht="12.75" customHeight="1">
      <c r="A31" s="17"/>
      <c r="B31" s="210"/>
      <c r="C31" s="210"/>
      <c r="D31" s="210"/>
      <c r="E31" s="210"/>
      <c r="F31" s="210"/>
      <c r="G31" s="210"/>
      <c r="H31" s="210"/>
      <c r="I31" s="210"/>
      <c r="J31" s="210"/>
      <c r="K31" s="17"/>
      <c r="M31" s="202"/>
      <c r="N31" s="202"/>
      <c r="O31" s="202"/>
      <c r="P31" s="202"/>
      <c r="Q31" s="202"/>
      <c r="R31" s="203"/>
      <c r="S31" s="203"/>
      <c r="T31" s="199"/>
      <c r="U31" s="199"/>
      <c r="V31" s="199"/>
      <c r="W31" s="199"/>
      <c r="X31" s="199"/>
      <c r="Y31" s="199"/>
    </row>
    <row r="32" spans="1:25" s="2" customFormat="1" ht="13.8">
      <c r="A32" s="17"/>
      <c r="B32" s="210"/>
      <c r="C32" s="210"/>
      <c r="D32" s="210"/>
      <c r="E32" s="210"/>
      <c r="F32" s="210"/>
      <c r="G32" s="210"/>
      <c r="H32" s="210"/>
      <c r="I32" s="210"/>
      <c r="J32" s="210"/>
      <c r="K32" s="17"/>
      <c r="M32" s="202"/>
      <c r="N32" s="202"/>
      <c r="O32" s="202"/>
      <c r="P32" s="202"/>
      <c r="Q32" s="202"/>
      <c r="R32" s="203"/>
      <c r="S32" s="203"/>
      <c r="T32" s="199"/>
      <c r="U32" s="199"/>
      <c r="V32" s="199"/>
      <c r="W32" s="199"/>
      <c r="X32" s="199"/>
      <c r="Y32" s="199"/>
    </row>
    <row r="33" spans="1:25" s="2" customFormat="1" ht="12.75" customHeight="1">
      <c r="A33" s="17"/>
      <c r="B33" s="210"/>
      <c r="C33" s="210"/>
      <c r="D33" s="210"/>
      <c r="E33" s="210"/>
      <c r="F33" s="210"/>
      <c r="G33" s="210"/>
      <c r="H33" s="210"/>
      <c r="I33" s="210"/>
      <c r="J33" s="210"/>
      <c r="K33" s="17"/>
      <c r="M33" s="202"/>
      <c r="N33" s="202"/>
      <c r="O33" s="202"/>
      <c r="P33" s="202"/>
      <c r="Q33" s="202"/>
      <c r="R33" s="203"/>
      <c r="S33" s="203"/>
      <c r="T33" s="199"/>
      <c r="U33" s="199"/>
      <c r="V33" s="199"/>
      <c r="W33" s="199"/>
      <c r="X33" s="199"/>
      <c r="Y33" s="199"/>
    </row>
    <row r="34" spans="1:25" s="2" customFormat="1" ht="13.8">
      <c r="A34" s="17"/>
      <c r="B34" s="208"/>
      <c r="C34" s="208"/>
      <c r="D34" s="209" t="s">
        <v>187</v>
      </c>
      <c r="E34" s="209"/>
      <c r="F34" s="209"/>
      <c r="G34" s="209"/>
      <c r="H34" s="209"/>
      <c r="I34" s="208"/>
      <c r="J34" s="208"/>
      <c r="K34" s="17"/>
      <c r="M34" s="202"/>
      <c r="N34" s="202"/>
      <c r="O34" s="202"/>
      <c r="P34" s="202"/>
      <c r="Q34" s="202"/>
      <c r="R34" s="203"/>
      <c r="S34" s="206"/>
      <c r="T34" s="199"/>
      <c r="U34" s="199"/>
      <c r="V34" s="199"/>
      <c r="W34" s="199"/>
      <c r="X34" s="199"/>
      <c r="Y34" s="199"/>
    </row>
    <row r="35" spans="1:25" s="2" customFormat="1" ht="13.8">
      <c r="A35" s="17"/>
      <c r="B35" s="17"/>
      <c r="C35" s="17"/>
      <c r="I35" s="17"/>
      <c r="J35" s="17"/>
      <c r="K35" s="17"/>
      <c r="M35" s="202"/>
      <c r="N35" s="202"/>
      <c r="O35" s="202"/>
      <c r="P35" s="202"/>
      <c r="Q35" s="202"/>
      <c r="R35" s="203"/>
      <c r="S35" s="206"/>
      <c r="T35" s="199"/>
      <c r="U35" s="199"/>
      <c r="V35" s="199"/>
      <c r="W35" s="199"/>
      <c r="X35" s="199"/>
      <c r="Y35" s="199"/>
    </row>
    <row r="36" spans="1:25" s="2" customFormat="1" ht="12.75" customHeight="1">
      <c r="A36" s="17"/>
      <c r="B36" s="186" t="s">
        <v>188</v>
      </c>
      <c r="C36" s="17"/>
      <c r="D36" s="17"/>
      <c r="E36" s="17"/>
      <c r="F36" s="207"/>
      <c r="G36" s="17"/>
      <c r="H36" s="17"/>
      <c r="I36" s="17"/>
      <c r="J36" s="17"/>
      <c r="K36" s="17"/>
      <c r="M36" s="202"/>
      <c r="N36" s="202"/>
      <c r="O36" s="202"/>
      <c r="P36" s="202"/>
      <c r="Q36" s="202"/>
      <c r="R36" s="203"/>
      <c r="S36" s="203"/>
      <c r="T36" s="199"/>
      <c r="U36" s="199"/>
      <c r="V36" s="199"/>
      <c r="W36" s="199"/>
      <c r="X36" s="199"/>
      <c r="Y36" s="199"/>
    </row>
    <row r="37" spans="1:25" s="2" customFormat="1" ht="13.8">
      <c r="A37" s="17"/>
      <c r="B37" s="186"/>
      <c r="C37" s="17"/>
      <c r="D37" s="17"/>
      <c r="E37" s="17"/>
      <c r="F37" s="207"/>
      <c r="G37" s="17"/>
      <c r="H37" s="17"/>
      <c r="I37" s="17"/>
      <c r="J37" s="17"/>
      <c r="K37" s="17"/>
      <c r="M37" s="202"/>
      <c r="N37" s="202"/>
      <c r="O37" s="202"/>
      <c r="P37" s="202"/>
      <c r="Q37" s="202"/>
      <c r="R37" s="203"/>
      <c r="S37" s="203"/>
      <c r="T37" s="199"/>
      <c r="U37" s="199"/>
      <c r="V37" s="199"/>
      <c r="W37" s="199"/>
      <c r="X37" s="199"/>
      <c r="Y37" s="199"/>
    </row>
    <row r="38" spans="1:25" s="2" customFormat="1" ht="13.8">
      <c r="A38" s="17"/>
      <c r="B38" s="210" t="s">
        <v>201</v>
      </c>
      <c r="C38" s="210"/>
      <c r="D38" s="210"/>
      <c r="E38" s="210"/>
      <c r="F38" s="210"/>
      <c r="G38" s="210"/>
      <c r="H38" s="210"/>
      <c r="I38" s="210"/>
      <c r="J38" s="210"/>
      <c r="K38" s="17"/>
      <c r="M38" s="202"/>
      <c r="N38" s="202"/>
      <c r="O38" s="202"/>
      <c r="P38" s="202"/>
      <c r="Q38" s="202"/>
      <c r="R38" s="203"/>
      <c r="S38" s="203"/>
      <c r="T38" s="199"/>
      <c r="U38" s="199"/>
      <c r="V38" s="199"/>
      <c r="W38" s="199"/>
      <c r="X38" s="199"/>
      <c r="Y38" s="199"/>
    </row>
    <row r="39" spans="1:25" s="2" customFormat="1" ht="13.8">
      <c r="A39" s="17"/>
      <c r="B39" s="210"/>
      <c r="C39" s="210"/>
      <c r="D39" s="210"/>
      <c r="E39" s="210"/>
      <c r="F39" s="210"/>
      <c r="G39" s="210"/>
      <c r="H39" s="210"/>
      <c r="I39" s="210"/>
      <c r="J39" s="210"/>
      <c r="K39" s="17"/>
      <c r="M39" s="202"/>
      <c r="N39" s="202"/>
      <c r="O39" s="202"/>
      <c r="P39" s="202"/>
      <c r="Q39" s="202"/>
      <c r="R39" s="203"/>
      <c r="S39" s="203"/>
      <c r="T39" s="199"/>
      <c r="U39" s="199"/>
      <c r="V39" s="199"/>
      <c r="W39" s="199"/>
      <c r="X39" s="199"/>
      <c r="Y39" s="199"/>
    </row>
    <row r="40" spans="1:25" s="2" customFormat="1" ht="13.8">
      <c r="A40" s="17"/>
      <c r="B40" s="208"/>
      <c r="C40" s="208"/>
      <c r="D40" s="208"/>
      <c r="E40" s="208"/>
      <c r="F40" s="208"/>
      <c r="G40" s="208"/>
      <c r="H40" s="208"/>
      <c r="I40" s="208"/>
      <c r="J40" s="208"/>
      <c r="K40" s="17"/>
      <c r="M40" s="202"/>
      <c r="N40" s="202"/>
      <c r="O40" s="202"/>
      <c r="P40" s="202"/>
      <c r="Q40" s="202"/>
      <c r="R40" s="203"/>
      <c r="S40" s="203"/>
      <c r="T40" s="199"/>
      <c r="U40" s="199"/>
      <c r="V40" s="199"/>
      <c r="W40" s="199"/>
      <c r="X40" s="199"/>
      <c r="Y40" s="199"/>
    </row>
    <row r="41" spans="1:25" s="2" customFormat="1" ht="13.8">
      <c r="A41" s="17"/>
      <c r="B41" s="210" t="s">
        <v>202</v>
      </c>
      <c r="C41" s="210"/>
      <c r="D41" s="210"/>
      <c r="E41" s="210"/>
      <c r="F41" s="210"/>
      <c r="G41" s="210"/>
      <c r="H41" s="210"/>
      <c r="I41" s="210"/>
      <c r="J41" s="210"/>
      <c r="K41" s="17"/>
      <c r="M41" s="202"/>
      <c r="N41" s="202"/>
      <c r="O41" s="202"/>
      <c r="P41" s="202"/>
      <c r="Q41" s="202"/>
      <c r="R41" s="203"/>
      <c r="S41" s="203"/>
      <c r="T41" s="199"/>
      <c r="U41" s="199"/>
      <c r="V41" s="199"/>
      <c r="W41" s="199"/>
      <c r="X41" s="199"/>
      <c r="Y41" s="199"/>
    </row>
    <row r="42" spans="1:25" s="2" customFormat="1" ht="13.8">
      <c r="A42" s="17"/>
      <c r="B42" s="210"/>
      <c r="C42" s="210"/>
      <c r="D42" s="210"/>
      <c r="E42" s="210"/>
      <c r="F42" s="210"/>
      <c r="G42" s="210"/>
      <c r="H42" s="210"/>
      <c r="I42" s="210"/>
      <c r="J42" s="210"/>
      <c r="K42" s="17"/>
      <c r="M42" s="202"/>
      <c r="N42" s="202"/>
      <c r="O42" s="202"/>
      <c r="P42" s="202"/>
      <c r="Q42" s="202"/>
      <c r="R42" s="203"/>
      <c r="S42" s="203"/>
      <c r="T42" s="199"/>
      <c r="U42" s="199"/>
      <c r="V42" s="199"/>
      <c r="W42" s="199"/>
      <c r="X42" s="199"/>
      <c r="Y42" s="199"/>
    </row>
    <row r="43" spans="1:25" s="2" customFormat="1" ht="13.8">
      <c r="A43" s="17"/>
      <c r="B43" s="210"/>
      <c r="C43" s="210"/>
      <c r="D43" s="210"/>
      <c r="E43" s="210"/>
      <c r="F43" s="210"/>
      <c r="G43" s="210"/>
      <c r="H43" s="210"/>
      <c r="I43" s="210"/>
      <c r="J43" s="210"/>
      <c r="K43" s="17"/>
      <c r="M43" s="202"/>
      <c r="N43" s="202"/>
      <c r="O43" s="202"/>
      <c r="P43" s="202"/>
      <c r="Q43" s="202"/>
      <c r="R43" s="203"/>
      <c r="S43" s="203"/>
      <c r="T43" s="199"/>
      <c r="U43" s="199"/>
      <c r="V43" s="199"/>
      <c r="W43" s="199"/>
      <c r="X43" s="199"/>
      <c r="Y43" s="199"/>
    </row>
    <row r="44" spans="1:25" s="2" customFormat="1" ht="13.8">
      <c r="A44" s="17"/>
      <c r="B44" s="208"/>
      <c r="C44" s="208"/>
      <c r="D44" s="208"/>
      <c r="E44" s="208"/>
      <c r="F44" s="208"/>
      <c r="G44" s="208"/>
      <c r="H44" s="208"/>
      <c r="I44" s="208"/>
      <c r="J44" s="208"/>
      <c r="K44" s="17"/>
      <c r="M44" s="202"/>
      <c r="N44" s="202"/>
      <c r="O44" s="202"/>
      <c r="P44" s="202"/>
      <c r="Q44" s="202"/>
      <c r="R44" s="203"/>
      <c r="S44" s="203"/>
      <c r="T44" s="199"/>
      <c r="U44" s="199"/>
      <c r="V44" s="199"/>
      <c r="W44" s="199"/>
      <c r="X44" s="199"/>
      <c r="Y44" s="199"/>
    </row>
    <row r="45" spans="1:25" s="2" customFormat="1" ht="12.75" customHeight="1">
      <c r="A45" s="17"/>
      <c r="B45" s="210" t="s">
        <v>195</v>
      </c>
      <c r="C45" s="210"/>
      <c r="D45" s="210"/>
      <c r="E45" s="210"/>
      <c r="F45" s="210"/>
      <c r="G45" s="210"/>
      <c r="H45" s="210"/>
      <c r="I45" s="210"/>
      <c r="J45" s="210"/>
      <c r="K45" s="17"/>
      <c r="M45" s="202"/>
      <c r="N45" s="202"/>
      <c r="O45" s="202"/>
      <c r="P45" s="202"/>
      <c r="Q45" s="202"/>
      <c r="R45" s="203"/>
      <c r="S45" s="203"/>
      <c r="T45" s="199"/>
      <c r="U45" s="199"/>
      <c r="V45" s="199"/>
      <c r="W45" s="199"/>
      <c r="X45" s="199"/>
      <c r="Y45" s="199"/>
    </row>
    <row r="46" spans="1:25" s="2" customFormat="1" ht="13.8">
      <c r="A46" s="17"/>
      <c r="B46" s="210"/>
      <c r="C46" s="210"/>
      <c r="D46" s="210"/>
      <c r="E46" s="210"/>
      <c r="F46" s="210"/>
      <c r="G46" s="210"/>
      <c r="H46" s="210"/>
      <c r="I46" s="210"/>
      <c r="J46" s="210"/>
      <c r="K46" s="17"/>
      <c r="M46" s="202"/>
      <c r="N46" s="202"/>
      <c r="O46" s="202"/>
      <c r="P46" s="202"/>
      <c r="Q46" s="202"/>
      <c r="R46" s="203"/>
      <c r="S46" s="203"/>
      <c r="T46" s="199"/>
      <c r="U46" s="199"/>
      <c r="V46" s="199"/>
      <c r="W46" s="199"/>
      <c r="X46" s="199"/>
      <c r="Y46" s="199"/>
    </row>
    <row r="47" spans="1:25" s="2" customFormat="1" ht="13.8">
      <c r="A47" s="17"/>
      <c r="B47" s="210"/>
      <c r="C47" s="210"/>
      <c r="D47" s="210"/>
      <c r="E47" s="210"/>
      <c r="F47" s="210"/>
      <c r="G47" s="210"/>
      <c r="H47" s="210"/>
      <c r="I47" s="210"/>
      <c r="J47" s="210"/>
      <c r="K47" s="17"/>
      <c r="M47" s="202"/>
      <c r="N47" s="202"/>
      <c r="O47" s="202"/>
      <c r="P47" s="202"/>
      <c r="Q47" s="202"/>
      <c r="R47" s="203"/>
      <c r="S47" s="203"/>
      <c r="T47" s="199"/>
      <c r="U47" s="199"/>
      <c r="V47" s="199"/>
      <c r="W47" s="199"/>
      <c r="X47" s="199"/>
      <c r="Y47" s="199"/>
    </row>
    <row r="48" spans="1:25" s="2" customFormat="1" ht="12.75" customHeight="1">
      <c r="A48" s="17"/>
      <c r="B48" s="210"/>
      <c r="C48" s="210"/>
      <c r="D48" s="210"/>
      <c r="E48" s="210"/>
      <c r="F48" s="210"/>
      <c r="G48" s="210"/>
      <c r="H48" s="210"/>
      <c r="I48" s="210"/>
      <c r="J48" s="210"/>
      <c r="K48" s="17"/>
      <c r="M48" s="202"/>
      <c r="N48" s="202"/>
      <c r="O48" s="202"/>
      <c r="P48" s="202"/>
      <c r="Q48" s="202"/>
      <c r="R48" s="203"/>
      <c r="S48" s="203"/>
      <c r="T48" s="199"/>
      <c r="U48" s="199"/>
      <c r="V48" s="199"/>
      <c r="W48" s="199"/>
      <c r="X48" s="199"/>
      <c r="Y48" s="199"/>
    </row>
    <row r="49" spans="1:25" s="2" customFormat="1" ht="13.8">
      <c r="A49" s="17"/>
      <c r="B49" s="17" t="s">
        <v>203</v>
      </c>
      <c r="C49" s="17"/>
      <c r="D49" s="17"/>
      <c r="E49" s="17"/>
      <c r="F49" s="17"/>
      <c r="G49" s="17"/>
      <c r="H49" s="17"/>
      <c r="I49" s="17"/>
      <c r="J49" s="17"/>
      <c r="K49" s="17"/>
      <c r="M49" s="202"/>
      <c r="N49" s="202"/>
      <c r="O49" s="202"/>
      <c r="P49" s="202"/>
      <c r="Q49" s="202"/>
      <c r="R49" s="203"/>
      <c r="S49" s="203"/>
      <c r="T49" s="199"/>
      <c r="U49" s="199"/>
      <c r="V49" s="199"/>
      <c r="W49" s="199"/>
      <c r="X49" s="199"/>
      <c r="Y49" s="199"/>
    </row>
    <row r="50" spans="1:25" s="2" customFormat="1" ht="13.8">
      <c r="A50" s="17"/>
      <c r="B50" s="17"/>
      <c r="C50" s="17"/>
      <c r="D50" s="17"/>
      <c r="F50" s="216" t="s">
        <v>204</v>
      </c>
      <c r="G50" s="207"/>
      <c r="H50" s="17"/>
      <c r="I50" s="17"/>
      <c r="J50" s="17"/>
      <c r="K50" s="17"/>
      <c r="M50" s="202"/>
      <c r="N50" s="202"/>
      <c r="O50" s="202"/>
      <c r="P50" s="202"/>
      <c r="Q50" s="202"/>
      <c r="R50" s="203"/>
      <c r="S50" s="203"/>
      <c r="T50" s="199"/>
      <c r="U50" s="199"/>
      <c r="V50" s="199"/>
      <c r="W50" s="199"/>
      <c r="X50" s="199"/>
      <c r="Y50" s="199"/>
    </row>
    <row r="51" spans="1:25" s="2" customFormat="1" ht="13.8">
      <c r="A51" s="17"/>
      <c r="B51" s="17"/>
      <c r="C51" s="17"/>
      <c r="D51" s="17"/>
      <c r="E51" s="17"/>
      <c r="F51" s="17"/>
      <c r="G51" s="17"/>
      <c r="H51" s="17"/>
      <c r="I51" s="17"/>
      <c r="J51" s="17"/>
      <c r="K51" s="17"/>
      <c r="M51" s="202"/>
      <c r="N51" s="202"/>
      <c r="O51" s="202"/>
      <c r="P51" s="202"/>
      <c r="Q51" s="202"/>
      <c r="R51" s="203"/>
      <c r="S51" s="203"/>
      <c r="T51" s="199"/>
      <c r="U51" s="199"/>
      <c r="V51" s="199"/>
      <c r="W51" s="199"/>
      <c r="X51" s="199"/>
      <c r="Y51" s="199"/>
    </row>
    <row r="52" spans="1:25" s="2" customFormat="1" ht="12.75" customHeight="1">
      <c r="A52" s="17"/>
      <c r="B52" s="186" t="s">
        <v>205</v>
      </c>
      <c r="C52" s="17"/>
      <c r="D52" s="17"/>
      <c r="E52" s="17"/>
      <c r="F52" s="17"/>
      <c r="G52" s="17"/>
      <c r="H52" s="17"/>
      <c r="I52" s="17"/>
      <c r="J52" s="17"/>
      <c r="K52" s="17"/>
      <c r="M52" s="202"/>
      <c r="N52" s="202"/>
      <c r="O52" s="202"/>
      <c r="P52" s="202"/>
      <c r="Q52" s="202"/>
      <c r="R52" s="203"/>
      <c r="S52" s="203"/>
      <c r="T52" s="199"/>
      <c r="U52" s="199"/>
      <c r="V52" s="199"/>
      <c r="W52" s="199"/>
      <c r="X52" s="199"/>
      <c r="Y52" s="199"/>
    </row>
    <row r="53" spans="1:25" s="2" customFormat="1" ht="13.8">
      <c r="A53" s="17"/>
      <c r="B53" s="17"/>
      <c r="C53" s="17"/>
      <c r="D53" s="17"/>
      <c r="E53" s="17"/>
      <c r="F53" s="17"/>
      <c r="G53" s="17"/>
      <c r="H53" s="17"/>
      <c r="I53" s="17"/>
      <c r="J53" s="17"/>
      <c r="K53" s="17"/>
      <c r="M53" s="202"/>
      <c r="N53" s="202"/>
      <c r="O53" s="202"/>
      <c r="P53" s="202"/>
      <c r="Q53" s="202"/>
      <c r="R53" s="203"/>
      <c r="S53" s="203"/>
      <c r="T53" s="199"/>
      <c r="U53" s="199"/>
      <c r="V53" s="199"/>
      <c r="W53" s="199"/>
      <c r="X53" s="199"/>
      <c r="Y53" s="199"/>
    </row>
    <row r="54" spans="1:25" s="2" customFormat="1" ht="13.8">
      <c r="A54" s="17"/>
      <c r="B54" s="217" t="s">
        <v>206</v>
      </c>
      <c r="C54" s="217"/>
      <c r="D54" s="217"/>
      <c r="E54" s="217"/>
      <c r="F54" s="217"/>
      <c r="G54" s="217"/>
      <c r="H54" s="217"/>
      <c r="I54" s="217"/>
      <c r="J54" s="217"/>
      <c r="K54" s="17"/>
      <c r="M54" s="202"/>
      <c r="N54" s="202"/>
      <c r="O54" s="202"/>
      <c r="P54" s="202"/>
      <c r="Q54" s="202"/>
      <c r="R54" s="203"/>
      <c r="S54" s="203"/>
      <c r="T54" s="199"/>
      <c r="U54" s="199"/>
      <c r="V54" s="199"/>
      <c r="W54" s="199"/>
      <c r="X54" s="199"/>
      <c r="Y54" s="199"/>
    </row>
    <row r="55" spans="1:25" s="2" customFormat="1" ht="13.8">
      <c r="A55" s="17"/>
      <c r="B55" s="217"/>
      <c r="C55" s="217"/>
      <c r="D55" s="217"/>
      <c r="E55" s="217"/>
      <c r="F55" s="217"/>
      <c r="G55" s="217"/>
      <c r="H55" s="217"/>
      <c r="I55" s="217"/>
      <c r="J55" s="217"/>
      <c r="K55" s="17"/>
      <c r="M55" s="202"/>
      <c r="N55" s="202"/>
      <c r="O55" s="202"/>
      <c r="P55" s="202"/>
      <c r="Q55" s="202"/>
      <c r="R55" s="203"/>
      <c r="S55" s="203"/>
      <c r="T55" s="199"/>
      <c r="U55" s="199"/>
      <c r="V55" s="199"/>
      <c r="W55" s="199"/>
      <c r="X55" s="199"/>
      <c r="Y55" s="199"/>
    </row>
    <row r="56" spans="1:25" s="2" customFormat="1" ht="13.8">
      <c r="A56" s="17"/>
      <c r="B56" s="217"/>
      <c r="C56" s="217"/>
      <c r="D56" s="217"/>
      <c r="E56" s="217"/>
      <c r="F56" s="217"/>
      <c r="G56" s="217"/>
      <c r="H56" s="217"/>
      <c r="I56" s="217"/>
      <c r="J56" s="217"/>
      <c r="K56" s="17"/>
      <c r="M56" s="202"/>
      <c r="N56" s="202"/>
      <c r="O56" s="218"/>
      <c r="P56" s="202"/>
      <c r="Q56" s="202"/>
      <c r="R56" s="203"/>
      <c r="S56" s="203"/>
      <c r="T56" s="199"/>
      <c r="U56" s="199"/>
      <c r="V56" s="199"/>
      <c r="W56" s="199"/>
      <c r="X56" s="199"/>
      <c r="Y56" s="199"/>
    </row>
    <row r="57" spans="1:25" s="2" customFormat="1" ht="13.8">
      <c r="A57" s="17"/>
      <c r="B57" s="17"/>
      <c r="C57" s="17"/>
      <c r="D57" s="17"/>
      <c r="F57" s="207"/>
      <c r="G57" s="17"/>
      <c r="H57" s="17"/>
      <c r="I57" s="17"/>
      <c r="J57" s="17"/>
      <c r="K57" s="17"/>
      <c r="M57" s="202"/>
      <c r="N57" s="202"/>
      <c r="O57" s="202"/>
      <c r="P57" s="202"/>
      <c r="Q57" s="202"/>
      <c r="R57" s="203"/>
      <c r="S57" s="203"/>
      <c r="T57" s="199"/>
      <c r="U57" s="199"/>
      <c r="V57" s="199"/>
      <c r="W57" s="199"/>
      <c r="X57" s="199"/>
      <c r="Y57" s="199"/>
    </row>
    <row r="58" spans="1:25" s="2" customFormat="1" ht="13.8">
      <c r="A58" s="17"/>
      <c r="B58" s="17"/>
      <c r="C58" s="17"/>
      <c r="D58" s="17"/>
      <c r="E58" s="17"/>
      <c r="F58" s="17"/>
      <c r="G58" s="17"/>
      <c r="H58" s="17"/>
      <c r="I58" s="17"/>
      <c r="J58" s="17"/>
      <c r="K58" s="17"/>
      <c r="M58" s="202"/>
      <c r="N58" s="202"/>
      <c r="O58" s="202"/>
      <c r="P58" s="202"/>
      <c r="Q58" s="202"/>
      <c r="R58" s="203"/>
      <c r="S58" s="203"/>
      <c r="T58" s="199"/>
      <c r="U58" s="199"/>
      <c r="V58" s="199"/>
      <c r="W58" s="199"/>
      <c r="X58" s="199"/>
      <c r="Y58" s="199"/>
    </row>
    <row r="59" spans="1:25" s="2" customFormat="1" ht="13.8">
      <c r="K59" s="17"/>
      <c r="M59" s="202"/>
      <c r="N59" s="202"/>
      <c r="O59" s="219"/>
      <c r="P59" s="202"/>
      <c r="Q59" s="202"/>
      <c r="R59" s="203"/>
      <c r="S59" s="203"/>
      <c r="T59" s="199"/>
      <c r="U59" s="199"/>
      <c r="V59" s="199"/>
      <c r="W59" s="199"/>
      <c r="X59" s="199"/>
      <c r="Y59" s="199"/>
    </row>
    <row r="60" spans="1:25" s="2" customFormat="1" ht="13.8">
      <c r="A60" s="17"/>
      <c r="B60" s="17" t="s">
        <v>207</v>
      </c>
      <c r="C60" s="17"/>
      <c r="D60" s="17"/>
      <c r="E60" s="17"/>
      <c r="F60" s="17"/>
      <c r="G60" s="17"/>
      <c r="H60" s="17"/>
      <c r="I60" s="17"/>
      <c r="J60" s="17"/>
      <c r="K60" s="17"/>
      <c r="M60" s="202"/>
      <c r="N60" s="202"/>
      <c r="O60" s="202"/>
      <c r="P60" s="202"/>
      <c r="Q60" s="202"/>
      <c r="R60" s="203"/>
      <c r="S60" s="203"/>
      <c r="T60" s="199"/>
      <c r="U60" s="199"/>
      <c r="V60" s="199"/>
      <c r="W60" s="199"/>
      <c r="X60" s="199"/>
      <c r="Y60" s="199"/>
    </row>
    <row r="61" spans="1:25" s="2" customFormat="1" ht="13.8">
      <c r="A61" s="17"/>
      <c r="C61" s="17"/>
      <c r="D61" s="17"/>
      <c r="F61" s="216" t="s">
        <v>208</v>
      </c>
      <c r="G61" s="190"/>
      <c r="H61" s="17"/>
      <c r="I61" s="17"/>
      <c r="J61" s="17"/>
      <c r="K61" s="17"/>
      <c r="M61" s="202"/>
      <c r="N61" s="202"/>
      <c r="O61" s="202"/>
      <c r="P61" s="202"/>
      <c r="Q61" s="202"/>
      <c r="R61" s="203"/>
      <c r="S61" s="203"/>
      <c r="T61" s="199"/>
      <c r="U61" s="199"/>
      <c r="V61" s="199"/>
      <c r="W61" s="199"/>
      <c r="X61" s="199"/>
      <c r="Y61" s="199"/>
    </row>
    <row r="62" spans="1:25" s="2" customFormat="1" ht="13.8">
      <c r="A62" s="17"/>
      <c r="B62" s="17"/>
      <c r="C62" s="17"/>
      <c r="D62" s="17"/>
      <c r="E62" s="17"/>
      <c r="F62" s="17"/>
      <c r="G62" s="17"/>
      <c r="H62" s="17"/>
      <c r="I62" s="17"/>
      <c r="J62" s="17"/>
      <c r="K62" s="17"/>
      <c r="M62" s="202"/>
      <c r="N62" s="202"/>
      <c r="O62" s="202"/>
      <c r="P62" s="202"/>
      <c r="Q62" s="202"/>
      <c r="R62" s="203"/>
      <c r="S62" s="203"/>
      <c r="T62" s="199"/>
      <c r="U62" s="199"/>
      <c r="V62" s="199"/>
      <c r="W62" s="199"/>
      <c r="X62" s="199"/>
      <c r="Y62" s="199"/>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dimension ref="A1:CK166"/>
  <sheetViews>
    <sheetView tabSelected="1" view="pageBreakPreview" zoomScale="70" zoomScaleNormal="100" zoomScaleSheetLayoutView="70" workbookViewId="0">
      <selection activeCell="B121" sqref="B121"/>
    </sheetView>
  </sheetViews>
  <sheetFormatPr defaultColWidth="9.109375" defaultRowHeight="15.6"/>
  <cols>
    <col min="1" max="2" width="9.109375" style="12"/>
    <col min="3" max="3" width="9.5546875" style="12" bestFit="1" customWidth="1"/>
    <col min="4" max="11" width="9.109375" style="12"/>
    <col min="12" max="12" width="5.44140625" style="2" customWidth="1"/>
    <col min="13" max="17" width="5.33203125" style="15" customWidth="1"/>
    <col min="18" max="19" width="5.33203125" style="16" customWidth="1"/>
    <col min="20" max="44" width="9.109375" style="2"/>
    <col min="45" max="16384" width="9.109375" style="12"/>
  </cols>
  <sheetData>
    <row r="1" spans="1:38" s="2" customFormat="1" ht="13.8">
      <c r="B1" s="3" t="s">
        <v>1</v>
      </c>
      <c r="C1" s="188" t="s">
        <v>0</v>
      </c>
      <c r="F1" s="3" t="s">
        <v>14</v>
      </c>
      <c r="G1" s="189">
        <f>SUM(M:M)</f>
        <v>3</v>
      </c>
      <c r="M1" s="6" t="s">
        <v>15</v>
      </c>
      <c r="N1" s="6" t="s">
        <v>16</v>
      </c>
      <c r="O1" s="6" t="s">
        <v>17</v>
      </c>
      <c r="P1" s="6" t="s">
        <v>17</v>
      </c>
      <c r="Q1" s="6" t="s">
        <v>17</v>
      </c>
      <c r="R1" s="6" t="s">
        <v>18</v>
      </c>
      <c r="S1" s="6" t="s">
        <v>19</v>
      </c>
      <c r="T1" s="2" t="s">
        <v>25</v>
      </c>
      <c r="W1" s="3" t="s">
        <v>26</v>
      </c>
      <c r="X1" s="5">
        <f>SUM(M:M)</f>
        <v>3</v>
      </c>
    </row>
    <row r="2" spans="1:38" s="2" customFormat="1" ht="13.8">
      <c r="B2" s="3" t="s">
        <v>2</v>
      </c>
      <c r="C2" s="188" t="s">
        <v>10</v>
      </c>
      <c r="F2" s="3" t="s">
        <v>5</v>
      </c>
      <c r="G2" s="188" t="s">
        <v>189</v>
      </c>
      <c r="M2" s="7" t="s">
        <v>20</v>
      </c>
      <c r="N2" s="7" t="s">
        <v>20</v>
      </c>
      <c r="O2" s="7" t="s">
        <v>16</v>
      </c>
      <c r="P2" s="7" t="s">
        <v>16</v>
      </c>
      <c r="Q2" s="7" t="s">
        <v>16</v>
      </c>
      <c r="R2" s="7" t="s">
        <v>20</v>
      </c>
      <c r="S2" s="7" t="s">
        <v>20</v>
      </c>
      <c r="W2" s="3" t="s">
        <v>27</v>
      </c>
      <c r="X2" s="5">
        <f>SUM(N:N)</f>
        <v>0</v>
      </c>
    </row>
    <row r="3" spans="1:38" s="2" customFormat="1" ht="13.8">
      <c r="B3" s="3" t="s">
        <v>3</v>
      </c>
      <c r="C3" s="188" t="s">
        <v>31</v>
      </c>
      <c r="F3" s="3" t="s">
        <v>4</v>
      </c>
      <c r="G3" s="188" t="s">
        <v>32</v>
      </c>
      <c r="M3" s="7"/>
      <c r="N3" s="7"/>
      <c r="O3" s="7"/>
      <c r="P3" s="7"/>
      <c r="Q3" s="7"/>
      <c r="R3" s="7"/>
      <c r="S3" s="7"/>
      <c r="W3" s="3" t="s">
        <v>28</v>
      </c>
      <c r="X3" s="5">
        <f>SUM(O:O)</f>
        <v>0</v>
      </c>
    </row>
    <row r="4" spans="1:38" s="2" customFormat="1" ht="13.8">
      <c r="B4" s="3" t="s">
        <v>21</v>
      </c>
      <c r="C4" s="189"/>
      <c r="F4" s="3" t="s">
        <v>22</v>
      </c>
      <c r="G4" s="188" t="s">
        <v>173</v>
      </c>
      <c r="M4" s="7"/>
      <c r="N4" s="7"/>
      <c r="O4" s="7"/>
      <c r="P4" s="7"/>
      <c r="Q4" s="15"/>
      <c r="R4" s="16"/>
      <c r="S4" s="16"/>
      <c r="W4" s="3" t="s">
        <v>28</v>
      </c>
      <c r="X4" s="5">
        <f>SUM(P:P)</f>
        <v>0</v>
      </c>
    </row>
    <row r="5" spans="1:38" s="2" customFormat="1" ht="13.8">
      <c r="B5" s="3" t="s">
        <v>23</v>
      </c>
      <c r="C5" s="181" t="s">
        <v>191</v>
      </c>
      <c r="E5" s="3"/>
      <c r="M5" s="7"/>
      <c r="N5" s="7"/>
      <c r="O5" s="7"/>
      <c r="P5" s="7"/>
      <c r="Q5" s="15"/>
      <c r="R5" s="16"/>
      <c r="S5" s="16"/>
      <c r="W5" s="3" t="s">
        <v>28</v>
      </c>
      <c r="X5" s="5">
        <f>SUM(Q:Q)</f>
        <v>0</v>
      </c>
    </row>
    <row r="6" spans="1:38" s="2" customFormat="1" ht="13.8">
      <c r="B6" s="2" t="s">
        <v>7</v>
      </c>
      <c r="C6" s="8"/>
      <c r="M6" s="7"/>
      <c r="N6" s="7"/>
      <c r="O6" s="7"/>
      <c r="P6" s="7"/>
      <c r="Q6" s="15"/>
      <c r="R6" s="16"/>
      <c r="S6" s="16"/>
      <c r="W6" s="3" t="s">
        <v>29</v>
      </c>
      <c r="X6" s="5">
        <f>SUM(R:R)</f>
        <v>0</v>
      </c>
    </row>
    <row r="7" spans="1:38" s="2" customFormat="1" ht="13.8">
      <c r="M7" s="7"/>
      <c r="N7" s="7"/>
      <c r="O7" s="7"/>
      <c r="P7" s="7"/>
      <c r="Q7" s="15"/>
      <c r="R7" s="16"/>
      <c r="S7" s="16"/>
      <c r="W7" s="3" t="s">
        <v>30</v>
      </c>
      <c r="X7" s="5">
        <f>SUM(S:S)</f>
        <v>0</v>
      </c>
    </row>
    <row r="8" spans="1:38" s="2" customFormat="1" ht="13.8">
      <c r="A8" s="184"/>
      <c r="E8" s="3" t="s">
        <v>1</v>
      </c>
      <c r="F8" s="5" t="str">
        <f>$C$1</f>
        <v>R. Abbott</v>
      </c>
      <c r="H8" s="4"/>
      <c r="I8" s="3" t="s">
        <v>8</v>
      </c>
      <c r="J8" s="9" t="str">
        <f>$G$2</f>
        <v>AA-SM-507</v>
      </c>
      <c r="K8" s="10"/>
      <c r="L8" s="1"/>
      <c r="M8" s="7"/>
      <c r="N8" s="7"/>
      <c r="O8" s="7"/>
      <c r="P8" s="7"/>
      <c r="Q8" s="15"/>
      <c r="R8" s="16"/>
      <c r="S8" s="16"/>
    </row>
    <row r="9" spans="1:38" s="2" customFormat="1" ht="13.8">
      <c r="E9" s="3" t="s">
        <v>2</v>
      </c>
      <c r="F9" s="4" t="str">
        <f>$C$2</f>
        <v xml:space="preserve"> </v>
      </c>
      <c r="H9" s="4"/>
      <c r="I9" s="3" t="s">
        <v>9</v>
      </c>
      <c r="J9" s="10" t="str">
        <f>$G$3</f>
        <v>IR</v>
      </c>
      <c r="K9" s="10"/>
      <c r="L9" s="1"/>
      <c r="M9" s="7">
        <v>1</v>
      </c>
      <c r="N9" s="7"/>
      <c r="O9" s="7"/>
      <c r="P9" s="7"/>
      <c r="Q9" s="15"/>
      <c r="R9" s="16"/>
      <c r="S9" s="16"/>
    </row>
    <row r="10" spans="1:38" s="2" customFormat="1" ht="13.8">
      <c r="E10" s="3" t="s">
        <v>3</v>
      </c>
      <c r="F10" s="4" t="str">
        <f>$C$3</f>
        <v>25/04/2009</v>
      </c>
      <c r="H10" s="4"/>
      <c r="I10" s="3" t="s">
        <v>6</v>
      </c>
      <c r="J10" s="5" t="str">
        <f>L10&amp;" of "&amp;$G$1</f>
        <v>1 of 3</v>
      </c>
      <c r="K10" s="4"/>
      <c r="L10" s="1">
        <f>SUM($M$1:M9)</f>
        <v>1</v>
      </c>
      <c r="M10" s="7"/>
      <c r="N10" s="7"/>
      <c r="O10" s="7"/>
      <c r="P10" s="7"/>
      <c r="Q10" s="15"/>
      <c r="R10" s="16"/>
      <c r="S10" s="16"/>
    </row>
    <row r="11" spans="1:38" s="2" customFormat="1" ht="13.8">
      <c r="E11" s="3" t="s">
        <v>24</v>
      </c>
      <c r="F11" s="4" t="str">
        <f>$C$5</f>
        <v>STANDARD SPREADSHEET METHOD</v>
      </c>
      <c r="I11" s="11"/>
      <c r="J11" s="5"/>
      <c r="M11" s="7"/>
      <c r="N11" s="7"/>
      <c r="O11" s="7"/>
      <c r="P11" s="7"/>
      <c r="Q11" s="7"/>
      <c r="R11" s="7"/>
      <c r="S11" s="7"/>
    </row>
    <row r="12" spans="1:38">
      <c r="B12" s="13" t="str">
        <f>($C$4)&amp;" "&amp;$G$4</f>
        <v xml:space="preserve"> SEAT INTERFACE LOAD CALCULATION</v>
      </c>
      <c r="M12" s="7"/>
      <c r="N12" s="7"/>
      <c r="O12" s="7"/>
      <c r="P12" s="7"/>
      <c r="Q12" s="14"/>
      <c r="R12" s="14"/>
      <c r="S12" s="14"/>
      <c r="AD12" s="68" t="s">
        <v>121</v>
      </c>
      <c r="AE12" s="68"/>
      <c r="AF12" s="68"/>
      <c r="AG12" s="68"/>
      <c r="AH12" s="68">
        <f>Y21</f>
        <v>318</v>
      </c>
      <c r="AI12" s="68">
        <v>0</v>
      </c>
      <c r="AJ12" s="68"/>
      <c r="AK12" s="68">
        <f>Y18</f>
        <v>0</v>
      </c>
      <c r="AL12" s="68">
        <v>0</v>
      </c>
    </row>
    <row r="13" spans="1:38" s="2" customFormat="1" ht="13.8">
      <c r="A13" s="19"/>
      <c r="B13" s="19"/>
      <c r="C13" s="19"/>
      <c r="D13" s="19"/>
      <c r="E13" s="19"/>
      <c r="F13" s="19"/>
      <c r="G13" s="19"/>
      <c r="H13" s="19"/>
      <c r="I13" s="19"/>
      <c r="J13" s="19"/>
      <c r="K13" s="19"/>
      <c r="M13" s="15"/>
      <c r="N13" s="15"/>
      <c r="O13" s="15"/>
      <c r="P13" s="15"/>
      <c r="Q13" s="15"/>
      <c r="R13" s="16"/>
      <c r="S13" s="16"/>
      <c r="U13" s="68"/>
      <c r="V13" s="106"/>
      <c r="W13" s="68"/>
      <c r="X13" s="107" t="s">
        <v>141</v>
      </c>
      <c r="Y13" s="68">
        <v>25</v>
      </c>
      <c r="Z13" s="68"/>
      <c r="AA13" s="68"/>
      <c r="AB13" s="68"/>
      <c r="AD13" s="68" t="s">
        <v>120</v>
      </c>
      <c r="AE13" s="68"/>
      <c r="AF13" s="68"/>
      <c r="AG13" s="68"/>
      <c r="AH13" s="68">
        <f>AH12</f>
        <v>318</v>
      </c>
      <c r="AI13" s="68">
        <v>-50</v>
      </c>
      <c r="AJ13" s="68"/>
      <c r="AK13" s="68">
        <f>AK12</f>
        <v>0</v>
      </c>
      <c r="AL13" s="68">
        <v>-50</v>
      </c>
    </row>
    <row r="14" spans="1:38" s="2" customFormat="1" ht="13.8">
      <c r="A14" s="19"/>
      <c r="B14" s="187" t="s">
        <v>190</v>
      </c>
      <c r="C14" s="19"/>
      <c r="D14" s="19"/>
      <c r="E14" s="19"/>
      <c r="F14" s="19"/>
      <c r="G14" s="19"/>
      <c r="H14" s="19"/>
      <c r="I14" s="19"/>
      <c r="J14" s="19"/>
      <c r="K14" s="19"/>
      <c r="M14" s="15"/>
      <c r="N14" s="15"/>
      <c r="O14" s="15"/>
      <c r="P14" s="15"/>
      <c r="Q14" s="15"/>
      <c r="R14" s="16"/>
      <c r="S14" s="16"/>
      <c r="U14" s="68"/>
      <c r="V14" s="106"/>
      <c r="W14" s="68"/>
      <c r="X14" s="68"/>
      <c r="Y14" s="68"/>
      <c r="Z14" s="68"/>
      <c r="AA14" s="68"/>
      <c r="AB14" s="68"/>
      <c r="AD14" s="68">
        <f>AE100</f>
        <v>0</v>
      </c>
      <c r="AE14" s="68">
        <f>AF100</f>
        <v>135</v>
      </c>
      <c r="AF14" s="68">
        <f>Y85</f>
        <v>42.5</v>
      </c>
      <c r="AG14" s="68"/>
      <c r="AH14" s="68"/>
      <c r="AI14" s="68"/>
      <c r="AJ14" s="68"/>
      <c r="AK14" s="68"/>
      <c r="AL14" s="68"/>
    </row>
    <row r="15" spans="1:38" s="2" customFormat="1" ht="13.8">
      <c r="A15" s="19"/>
      <c r="B15" s="19"/>
      <c r="C15" s="19"/>
      <c r="D15" s="19"/>
      <c r="E15" s="19"/>
      <c r="F15" s="19"/>
      <c r="G15" s="19"/>
      <c r="H15" s="19"/>
      <c r="I15" s="19"/>
      <c r="J15" s="19"/>
      <c r="K15" s="19"/>
      <c r="M15" s="7"/>
      <c r="N15" s="7"/>
      <c r="O15" s="7"/>
      <c r="P15" s="7"/>
      <c r="Q15" s="15"/>
      <c r="R15" s="16"/>
      <c r="S15" s="16"/>
      <c r="U15" s="68"/>
      <c r="V15" s="108"/>
      <c r="W15" s="68"/>
      <c r="X15" s="107" t="s">
        <v>139</v>
      </c>
      <c r="Y15" s="68">
        <v>0</v>
      </c>
      <c r="Z15" s="68">
        <v>390</v>
      </c>
      <c r="AA15" s="68">
        <v>250</v>
      </c>
      <c r="AB15" s="68">
        <f>-AA15</f>
        <v>-250</v>
      </c>
      <c r="AD15" s="68" t="s">
        <v>117</v>
      </c>
      <c r="AE15" s="68"/>
      <c r="AF15" s="68"/>
      <c r="AG15" s="68"/>
      <c r="AH15" s="68">
        <f>AH12</f>
        <v>318</v>
      </c>
      <c r="AI15" s="68">
        <f>AI12</f>
        <v>0</v>
      </c>
      <c r="AJ15" s="68"/>
      <c r="AK15" s="68">
        <f>AK12</f>
        <v>0</v>
      </c>
      <c r="AL15" s="68">
        <f>AL12</f>
        <v>0</v>
      </c>
    </row>
    <row r="16" spans="1:38" s="2" customFormat="1" ht="13.8">
      <c r="B16" s="68" t="s">
        <v>122</v>
      </c>
      <c r="C16" s="68"/>
      <c r="D16" s="68"/>
      <c r="E16" s="68" t="s">
        <v>119</v>
      </c>
      <c r="F16" s="68"/>
      <c r="G16" s="68"/>
      <c r="H16" s="78"/>
      <c r="I16" s="68"/>
      <c r="J16" s="68"/>
      <c r="K16" s="68"/>
      <c r="M16" s="7"/>
      <c r="N16" s="7"/>
      <c r="O16" s="7"/>
      <c r="P16" s="7"/>
      <c r="Q16" s="15"/>
      <c r="R16" s="16"/>
      <c r="S16" s="16"/>
      <c r="U16" s="68"/>
      <c r="V16" s="106"/>
      <c r="W16" s="68"/>
      <c r="X16" s="107"/>
      <c r="Y16" s="68"/>
      <c r="Z16" s="68"/>
      <c r="AA16" s="68"/>
      <c r="AB16" s="68"/>
      <c r="AD16" s="68">
        <f>AE88</f>
        <v>0</v>
      </c>
      <c r="AE16" s="68">
        <f>AF88</f>
        <v>-135</v>
      </c>
      <c r="AF16" s="68">
        <f>AF14</f>
        <v>42.5</v>
      </c>
      <c r="AG16" s="68"/>
      <c r="AH16" s="68">
        <f>AH15-10</f>
        <v>308</v>
      </c>
      <c r="AI16" s="68">
        <v>-10</v>
      </c>
      <c r="AJ16" s="68"/>
      <c r="AK16" s="68">
        <f>AK15-10</f>
        <v>-10</v>
      </c>
      <c r="AL16" s="68">
        <v>-10</v>
      </c>
    </row>
    <row r="17" spans="1:38" s="2" customFormat="1" ht="13.8">
      <c r="B17" s="68"/>
      <c r="C17" s="68">
        <v>70</v>
      </c>
      <c r="D17" s="68" t="s">
        <v>118</v>
      </c>
      <c r="E17" s="68"/>
      <c r="F17" s="68">
        <v>215</v>
      </c>
      <c r="G17" s="68" t="s">
        <v>181</v>
      </c>
      <c r="H17" s="78"/>
      <c r="I17" s="68"/>
      <c r="J17" s="68"/>
      <c r="K17" s="68"/>
      <c r="M17" s="7"/>
      <c r="N17" s="7"/>
      <c r="O17" s="7"/>
      <c r="P17" s="7"/>
      <c r="Q17" s="15"/>
      <c r="R17" s="16"/>
      <c r="S17" s="16"/>
      <c r="U17" s="68"/>
      <c r="V17" s="68"/>
      <c r="W17" s="68"/>
      <c r="X17" s="107" t="s">
        <v>138</v>
      </c>
      <c r="Y17" s="68">
        <v>30</v>
      </c>
      <c r="Z17" s="68"/>
      <c r="AA17" s="68"/>
      <c r="AB17" s="68"/>
      <c r="AD17" s="68" t="s">
        <v>116</v>
      </c>
      <c r="AE17" s="68"/>
      <c r="AF17" s="68"/>
      <c r="AG17" s="68"/>
      <c r="AH17" s="68"/>
      <c r="AI17" s="68"/>
      <c r="AJ17" s="68"/>
      <c r="AK17" s="68"/>
      <c r="AL17" s="68"/>
    </row>
    <row r="18" spans="1:38" s="2" customFormat="1" ht="13.8">
      <c r="B18" s="68"/>
      <c r="C18" s="79"/>
      <c r="D18" s="68"/>
      <c r="E18" s="68"/>
      <c r="F18" s="68"/>
      <c r="G18" s="78"/>
      <c r="H18" s="78"/>
      <c r="I18" s="68"/>
      <c r="J18" s="68"/>
      <c r="K18" s="68"/>
      <c r="M18" s="7"/>
      <c r="N18" s="7"/>
      <c r="O18" s="7"/>
      <c r="P18" s="7"/>
      <c r="Q18" s="15"/>
      <c r="R18" s="16"/>
      <c r="S18" s="16"/>
      <c r="U18" s="68"/>
      <c r="V18" s="109"/>
      <c r="W18" s="68"/>
      <c r="X18" s="107" t="s">
        <v>137</v>
      </c>
      <c r="Y18" s="68">
        <f>0+Z18</f>
        <v>0</v>
      </c>
      <c r="Z18" s="68">
        <v>0</v>
      </c>
      <c r="AA18" s="68"/>
      <c r="AB18" s="68"/>
      <c r="AD18" s="68">
        <f>AE112</f>
        <v>318</v>
      </c>
      <c r="AE18" s="68">
        <f>AF112</f>
        <v>135</v>
      </c>
      <c r="AF18" s="68">
        <f>AF16</f>
        <v>42.5</v>
      </c>
      <c r="AG18" s="68"/>
      <c r="AH18" s="68">
        <f>AH15</f>
        <v>318</v>
      </c>
      <c r="AI18" s="68">
        <f>AI15</f>
        <v>0</v>
      </c>
      <c r="AJ18" s="68"/>
      <c r="AK18" s="68">
        <f>AK15</f>
        <v>0</v>
      </c>
      <c r="AL18" s="68">
        <f>AL15</f>
        <v>0</v>
      </c>
    </row>
    <row r="19" spans="1:38" s="2" customFormat="1" ht="13.8">
      <c r="B19" s="2" t="s">
        <v>174</v>
      </c>
      <c r="E19" s="68"/>
      <c r="F19" s="68"/>
      <c r="G19" s="78"/>
      <c r="H19" s="78"/>
      <c r="I19" s="68"/>
      <c r="J19" s="68"/>
      <c r="K19" s="68"/>
      <c r="M19" s="15"/>
      <c r="N19" s="15"/>
      <c r="O19" s="15"/>
      <c r="P19" s="15"/>
      <c r="Q19" s="15"/>
      <c r="R19" s="16"/>
      <c r="S19" s="16"/>
      <c r="U19" s="68"/>
      <c r="V19" s="108"/>
      <c r="W19" s="68"/>
      <c r="X19" s="107" t="s">
        <v>136</v>
      </c>
      <c r="Y19" s="68">
        <f>Y17+Y13/2</f>
        <v>42.5</v>
      </c>
      <c r="Z19" s="68"/>
      <c r="AA19" s="68"/>
      <c r="AB19" s="68"/>
      <c r="AD19" s="68" t="s">
        <v>114</v>
      </c>
      <c r="AE19" s="68"/>
      <c r="AF19" s="68"/>
      <c r="AG19" s="68"/>
      <c r="AH19" s="68">
        <f>AH15+10</f>
        <v>328</v>
      </c>
      <c r="AI19" s="68">
        <f>AI16</f>
        <v>-10</v>
      </c>
      <c r="AJ19" s="68"/>
      <c r="AK19" s="68">
        <f>AK15+10</f>
        <v>10</v>
      </c>
      <c r="AL19" s="68">
        <f>AL16</f>
        <v>-10</v>
      </c>
    </row>
    <row r="20" spans="1:38" s="2" customFormat="1" ht="13.8">
      <c r="C20" s="2">
        <v>0</v>
      </c>
      <c r="D20" s="2" t="s">
        <v>11</v>
      </c>
      <c r="E20" s="68"/>
      <c r="F20" s="68"/>
      <c r="G20" s="78"/>
      <c r="H20" s="78"/>
      <c r="I20" s="68"/>
      <c r="J20" s="68"/>
      <c r="K20" s="68"/>
      <c r="M20" s="15"/>
      <c r="N20" s="15"/>
      <c r="O20" s="15"/>
      <c r="P20" s="15"/>
      <c r="Q20" s="15"/>
      <c r="R20" s="16"/>
      <c r="S20" s="16"/>
      <c r="U20" s="68"/>
      <c r="V20" s="68"/>
      <c r="W20" s="68"/>
      <c r="X20" s="107"/>
      <c r="Y20" s="68"/>
      <c r="Z20" s="68"/>
      <c r="AA20" s="68"/>
      <c r="AB20" s="68"/>
      <c r="AD20" s="68">
        <f>AE121</f>
        <v>318</v>
      </c>
      <c r="AE20" s="68">
        <f>AF121</f>
        <v>-135</v>
      </c>
      <c r="AF20" s="68">
        <f>AF18</f>
        <v>42.5</v>
      </c>
      <c r="AG20" s="68"/>
      <c r="AH20" s="68"/>
      <c r="AI20" s="68"/>
      <c r="AJ20" s="68"/>
      <c r="AK20" s="68"/>
      <c r="AL20" s="68"/>
    </row>
    <row r="21" spans="1:38" s="2" customFormat="1" ht="13.8">
      <c r="A21" s="68"/>
      <c r="B21" s="79"/>
      <c r="C21" s="68"/>
      <c r="D21" s="68"/>
      <c r="E21" s="68"/>
      <c r="F21" s="78"/>
      <c r="G21" s="78"/>
      <c r="H21" s="78"/>
      <c r="I21" s="68"/>
      <c r="J21" s="68"/>
      <c r="K21" s="68"/>
      <c r="M21" s="15"/>
      <c r="N21" s="15"/>
      <c r="O21" s="15"/>
      <c r="P21" s="15"/>
      <c r="Q21" s="15"/>
      <c r="R21" s="16"/>
      <c r="S21" s="16"/>
      <c r="U21" s="68"/>
      <c r="V21" s="108"/>
      <c r="W21" s="68"/>
      <c r="X21" s="107" t="s">
        <v>134</v>
      </c>
      <c r="Y21" s="68">
        <f>100+Z21</f>
        <v>318</v>
      </c>
      <c r="Z21" s="68">
        <v>218</v>
      </c>
      <c r="AA21" s="68"/>
      <c r="AB21" s="68"/>
      <c r="AH21" s="68"/>
      <c r="AI21" s="68"/>
      <c r="AJ21" s="68"/>
      <c r="AK21" s="68"/>
      <c r="AL21" s="68"/>
    </row>
    <row r="22" spans="1:38" s="2" customFormat="1" ht="13.8">
      <c r="A22" s="68"/>
      <c r="B22" s="68" t="s">
        <v>115</v>
      </c>
      <c r="C22" s="79"/>
      <c r="D22" s="68"/>
      <c r="E22" s="68"/>
      <c r="F22" s="68"/>
      <c r="G22" s="78"/>
      <c r="H22" s="78"/>
      <c r="I22" s="68"/>
      <c r="J22" s="68"/>
      <c r="K22" s="68"/>
      <c r="M22" s="15"/>
      <c r="N22" s="15"/>
      <c r="O22" s="15"/>
      <c r="P22" s="15"/>
      <c r="Q22" s="15"/>
      <c r="R22" s="16"/>
      <c r="S22" s="16"/>
      <c r="U22" s="68"/>
      <c r="V22" s="68"/>
      <c r="W22" s="68"/>
      <c r="X22" s="107" t="s">
        <v>133</v>
      </c>
      <c r="Y22" s="68">
        <f>Y19</f>
        <v>42.5</v>
      </c>
      <c r="Z22" s="68"/>
      <c r="AA22" s="68"/>
      <c r="AB22" s="68"/>
      <c r="AH22" s="68">
        <f>AH12-15</f>
        <v>303</v>
      </c>
      <c r="AI22" s="68">
        <f>AI12-15</f>
        <v>-15</v>
      </c>
      <c r="AJ22" s="68"/>
      <c r="AK22" s="68" t="e">
        <f>AH22+'3D Bolt Calc'!#REF!</f>
        <v>#REF!</v>
      </c>
      <c r="AL22" s="68">
        <f>AI22</f>
        <v>-15</v>
      </c>
    </row>
    <row r="23" spans="1:38" s="2" customFormat="1" ht="13.8">
      <c r="B23" s="68"/>
      <c r="C23" s="79"/>
      <c r="D23" s="78" t="s">
        <v>109</v>
      </c>
      <c r="E23" s="78" t="s">
        <v>108</v>
      </c>
      <c r="F23" s="78" t="s">
        <v>107</v>
      </c>
      <c r="G23" s="78"/>
      <c r="H23" s="78"/>
      <c r="I23" s="78"/>
      <c r="J23" s="68"/>
      <c r="K23" s="68"/>
      <c r="M23" s="15"/>
      <c r="N23" s="15"/>
      <c r="O23" s="15"/>
      <c r="P23" s="15"/>
      <c r="Q23" s="15"/>
      <c r="R23" s="16"/>
      <c r="S23" s="16"/>
      <c r="U23" s="68"/>
      <c r="V23" s="108"/>
      <c r="W23" s="68"/>
      <c r="X23" s="107"/>
      <c r="Y23" s="68"/>
      <c r="Z23" s="68"/>
      <c r="AA23" s="68"/>
      <c r="AB23" s="68"/>
      <c r="AH23" s="68">
        <f>AH22-50</f>
        <v>253</v>
      </c>
      <c r="AI23" s="68">
        <f>AI22</f>
        <v>-15</v>
      </c>
      <c r="AJ23" s="68"/>
      <c r="AK23" s="68" t="e">
        <f>AH23+'3D Bolt Calc'!#REF!</f>
        <v>#REF!</v>
      </c>
      <c r="AL23" s="68">
        <f>AI23</f>
        <v>-15</v>
      </c>
    </row>
    <row r="24" spans="1:38" s="2" customFormat="1" ht="13.8">
      <c r="D24" s="1" t="s">
        <v>177</v>
      </c>
      <c r="E24" s="1" t="s">
        <v>177</v>
      </c>
      <c r="F24" s="1" t="s">
        <v>177</v>
      </c>
      <c r="H24" s="78"/>
      <c r="I24" s="78"/>
      <c r="J24" s="68"/>
      <c r="K24" s="68"/>
      <c r="M24" s="15"/>
      <c r="N24" s="15"/>
      <c r="O24" s="15"/>
      <c r="P24" s="15"/>
      <c r="Q24" s="15"/>
      <c r="R24" s="16"/>
      <c r="S24" s="16"/>
      <c r="U24" s="68"/>
      <c r="V24" s="68"/>
      <c r="W24" s="68"/>
      <c r="X24" s="107" t="s">
        <v>132</v>
      </c>
      <c r="Y24" s="68">
        <v>410</v>
      </c>
      <c r="Z24" s="68">
        <v>395</v>
      </c>
      <c r="AA24" s="68"/>
      <c r="AB24" s="68"/>
      <c r="AH24" s="68"/>
      <c r="AI24" s="68"/>
      <c r="AJ24" s="68"/>
      <c r="AK24" s="68"/>
      <c r="AL24" s="68"/>
    </row>
    <row r="25" spans="1:38" s="2" customFormat="1" ht="13.8">
      <c r="B25" s="68"/>
      <c r="C25" s="79"/>
      <c r="D25" s="134">
        <v>12</v>
      </c>
      <c r="E25" s="134">
        <v>0</v>
      </c>
      <c r="F25" s="134">
        <v>30</v>
      </c>
      <c r="G25" s="78"/>
      <c r="H25" s="78"/>
      <c r="I25" s="78"/>
      <c r="J25" s="68"/>
      <c r="K25" s="68"/>
      <c r="M25" s="15"/>
      <c r="N25" s="15"/>
      <c r="O25" s="15"/>
      <c r="P25" s="15"/>
      <c r="Q25" s="15"/>
      <c r="R25" s="16"/>
      <c r="S25" s="16"/>
      <c r="U25" s="68"/>
      <c r="V25" s="68"/>
      <c r="W25" s="68" t="s">
        <v>131</v>
      </c>
      <c r="X25" s="68"/>
      <c r="Y25" s="68"/>
      <c r="Z25" s="68"/>
      <c r="AA25" s="68"/>
      <c r="AB25" s="68"/>
      <c r="AH25" s="68">
        <f>AH22</f>
        <v>303</v>
      </c>
      <c r="AI25" s="68">
        <f>AI22</f>
        <v>-15</v>
      </c>
      <c r="AJ25" s="68"/>
      <c r="AK25" s="68" t="e">
        <f>AH25+'3D Bolt Calc'!#REF!</f>
        <v>#REF!</v>
      </c>
      <c r="AL25" s="68">
        <f>AI25</f>
        <v>-15</v>
      </c>
    </row>
    <row r="26" spans="1:38" s="2" customFormat="1" ht="13.8">
      <c r="B26" s="68"/>
      <c r="C26" s="68"/>
      <c r="D26" s="68"/>
      <c r="E26" s="68"/>
      <c r="F26" s="68"/>
      <c r="G26" s="78"/>
      <c r="H26" s="78"/>
      <c r="I26" s="78"/>
      <c r="J26" s="68"/>
      <c r="K26" s="68"/>
      <c r="M26" s="15"/>
      <c r="N26" s="15"/>
      <c r="O26" s="15"/>
      <c r="P26" s="15"/>
      <c r="Q26" s="15"/>
      <c r="R26" s="16"/>
      <c r="S26" s="16"/>
      <c r="U26" s="68"/>
      <c r="V26" s="68"/>
      <c r="W26" s="68"/>
      <c r="X26" s="68">
        <v>28</v>
      </c>
      <c r="Y26" s="68">
        <v>395</v>
      </c>
      <c r="Z26" s="68"/>
      <c r="AA26" s="68"/>
      <c r="AB26" s="68"/>
      <c r="AH26" s="68">
        <f>AH25-10</f>
        <v>293</v>
      </c>
      <c r="AI26" s="68">
        <v>-10</v>
      </c>
      <c r="AJ26" s="68"/>
      <c r="AK26" s="68" t="e">
        <f>AH26+'3D Bolt Calc'!#REF!</f>
        <v>#REF!</v>
      </c>
      <c r="AL26" s="68">
        <f>AI26</f>
        <v>-10</v>
      </c>
    </row>
    <row r="27" spans="1:38" s="2" customFormat="1" ht="13.8">
      <c r="B27" s="4" t="s">
        <v>184</v>
      </c>
      <c r="H27" s="135"/>
      <c r="M27" s="15"/>
      <c r="N27" s="15"/>
      <c r="O27" s="15"/>
      <c r="P27" s="15"/>
      <c r="Q27" s="15"/>
      <c r="R27" s="16"/>
      <c r="S27" s="16"/>
      <c r="U27" s="68"/>
      <c r="V27" s="68"/>
      <c r="W27" s="68"/>
      <c r="X27" s="68">
        <v>335</v>
      </c>
      <c r="Y27" s="68">
        <v>335</v>
      </c>
      <c r="Z27" s="68"/>
      <c r="AA27" s="68"/>
      <c r="AB27" s="68"/>
      <c r="AH27" s="68"/>
      <c r="AI27" s="68"/>
      <c r="AJ27" s="68"/>
      <c r="AK27" s="68"/>
      <c r="AL27" s="68"/>
    </row>
    <row r="28" spans="1:38" s="2" customFormat="1" ht="13.8">
      <c r="H28" s="78"/>
      <c r="M28" s="15"/>
      <c r="N28" s="15"/>
      <c r="O28" s="15"/>
      <c r="P28" s="15"/>
      <c r="Q28" s="15"/>
      <c r="R28" s="16"/>
      <c r="S28" s="16"/>
      <c r="U28" s="68"/>
      <c r="V28" s="68"/>
      <c r="W28" s="68"/>
      <c r="X28" s="107" t="s">
        <v>130</v>
      </c>
      <c r="Y28" s="68">
        <v>270</v>
      </c>
      <c r="Z28" s="68" t="s">
        <v>118</v>
      </c>
      <c r="AA28" s="68"/>
      <c r="AB28" s="68"/>
      <c r="AH28" s="68">
        <f>AH25</f>
        <v>303</v>
      </c>
      <c r="AI28" s="68">
        <f>AI25</f>
        <v>-15</v>
      </c>
      <c r="AJ28" s="68"/>
      <c r="AK28" s="68" t="e">
        <f>AH28+'3D Bolt Calc'!#REF!</f>
        <v>#REF!</v>
      </c>
      <c r="AL28" s="68">
        <f>AI28</f>
        <v>-15</v>
      </c>
    </row>
    <row r="29" spans="1:38" s="2" customFormat="1" ht="13.8">
      <c r="B29" s="136"/>
      <c r="C29" s="136"/>
      <c r="D29" s="158"/>
      <c r="E29" s="213" t="s">
        <v>113</v>
      </c>
      <c r="F29" s="211"/>
      <c r="G29" s="212"/>
      <c r="H29" s="78"/>
      <c r="M29" s="15"/>
      <c r="N29" s="15"/>
      <c r="O29" s="15"/>
      <c r="P29" s="15"/>
      <c r="Q29" s="15"/>
      <c r="R29" s="16"/>
      <c r="S29" s="16"/>
      <c r="U29" s="68"/>
      <c r="V29" s="68"/>
      <c r="W29" s="68"/>
      <c r="X29" s="68"/>
      <c r="Y29" s="79">
        <f>Y28/2.2</f>
        <v>122.72727272727272</v>
      </c>
      <c r="Z29" s="68" t="s">
        <v>123</v>
      </c>
      <c r="AA29" s="68"/>
      <c r="AB29" s="68"/>
      <c r="AH29" s="68">
        <f>AH26</f>
        <v>293</v>
      </c>
      <c r="AI29" s="68">
        <f>AI26-10</f>
        <v>-20</v>
      </c>
      <c r="AJ29" s="68"/>
      <c r="AK29" s="68" t="e">
        <f>AH29+'3D Bolt Calc'!#REF!</f>
        <v>#REF!</v>
      </c>
      <c r="AL29" s="68">
        <f>AI29</f>
        <v>-20</v>
      </c>
    </row>
    <row r="30" spans="1:38" s="2" customFormat="1" ht="13.8">
      <c r="B30" s="137" t="s">
        <v>112</v>
      </c>
      <c r="C30" s="137" t="s">
        <v>110</v>
      </c>
      <c r="D30" s="159"/>
      <c r="E30" s="143" t="s">
        <v>109</v>
      </c>
      <c r="F30" s="139" t="s">
        <v>108</v>
      </c>
      <c r="G30" s="140" t="s">
        <v>107</v>
      </c>
      <c r="H30" s="78"/>
      <c r="M30" s="15"/>
      <c r="N30" s="15"/>
      <c r="O30" s="15"/>
      <c r="P30" s="15"/>
      <c r="Q30" s="15"/>
      <c r="R30" s="16"/>
      <c r="S30" s="16"/>
      <c r="U30" s="68"/>
      <c r="V30" s="68"/>
      <c r="W30" s="68"/>
      <c r="X30" s="107" t="s">
        <v>129</v>
      </c>
      <c r="Y30" s="68"/>
      <c r="Z30" s="68"/>
      <c r="AA30" s="68"/>
      <c r="AB30" s="68"/>
    </row>
    <row r="31" spans="1:38" s="2" customFormat="1" ht="13.8">
      <c r="B31" s="137"/>
      <c r="C31" s="137"/>
      <c r="D31" s="159"/>
      <c r="E31" s="151"/>
      <c r="F31" s="141"/>
      <c r="G31" s="142"/>
      <c r="H31" s="78"/>
      <c r="M31" s="15"/>
      <c r="N31" s="15"/>
      <c r="O31" s="15"/>
      <c r="P31" s="15"/>
      <c r="Q31" s="15"/>
      <c r="R31" s="16"/>
      <c r="S31" s="16"/>
      <c r="U31" s="68"/>
      <c r="V31" s="68"/>
      <c r="W31" s="68"/>
      <c r="X31" s="68"/>
      <c r="Y31" s="68"/>
      <c r="Z31" s="107"/>
      <c r="AA31" s="68"/>
      <c r="AB31" s="68"/>
    </row>
    <row r="32" spans="1:38" s="2" customFormat="1" ht="13.8">
      <c r="B32" s="154">
        <v>1</v>
      </c>
      <c r="C32" s="160" t="s">
        <v>106</v>
      </c>
      <c r="D32" s="161"/>
      <c r="E32" s="155"/>
      <c r="F32" s="156"/>
      <c r="G32" s="157">
        <v>3</v>
      </c>
      <c r="H32" s="78"/>
      <c r="M32" s="15"/>
      <c r="N32" s="15"/>
      <c r="O32" s="15"/>
      <c r="P32" s="15"/>
      <c r="Q32" s="15"/>
      <c r="R32" s="16"/>
      <c r="S32" s="16"/>
      <c r="U32" s="68"/>
      <c r="V32" s="68"/>
      <c r="W32" s="68"/>
      <c r="X32" s="68"/>
      <c r="Y32" s="68"/>
      <c r="Z32" s="68"/>
      <c r="AA32" s="79"/>
      <c r="AB32" s="68"/>
    </row>
    <row r="33" spans="2:28" s="2" customFormat="1" ht="13.8">
      <c r="B33" s="143">
        <v>2</v>
      </c>
      <c r="C33" s="137" t="s">
        <v>105</v>
      </c>
      <c r="D33" s="159"/>
      <c r="E33" s="152">
        <v>-9</v>
      </c>
      <c r="F33" s="144"/>
      <c r="G33" s="145"/>
      <c r="H33" s="78"/>
      <c r="M33" s="15"/>
      <c r="N33" s="15"/>
      <c r="O33" s="15"/>
      <c r="P33" s="15"/>
      <c r="Q33" s="15"/>
      <c r="R33" s="16"/>
      <c r="S33" s="16"/>
      <c r="U33" s="68"/>
      <c r="V33" s="68"/>
      <c r="W33" s="68"/>
      <c r="X33" s="68"/>
      <c r="Y33" s="68"/>
      <c r="Z33" s="107"/>
      <c r="AA33" s="68"/>
      <c r="AB33" s="68"/>
    </row>
    <row r="34" spans="2:28" s="2" customFormat="1" ht="13.8">
      <c r="B34" s="143">
        <v>3</v>
      </c>
      <c r="C34" s="137" t="s">
        <v>104</v>
      </c>
      <c r="D34" s="159"/>
      <c r="E34" s="152"/>
      <c r="F34" s="144">
        <v>1.5</v>
      </c>
      <c r="G34" s="145"/>
      <c r="H34" s="78"/>
      <c r="M34" s="15"/>
      <c r="N34" s="15"/>
      <c r="O34" s="15"/>
      <c r="P34" s="15"/>
      <c r="Q34" s="15"/>
      <c r="R34" s="16"/>
      <c r="S34" s="16"/>
      <c r="U34" s="68"/>
      <c r="V34" s="68"/>
      <c r="W34" s="68"/>
      <c r="X34" s="68"/>
      <c r="Y34" s="68"/>
      <c r="Z34" s="68"/>
      <c r="AA34" s="68"/>
      <c r="AB34" s="68"/>
    </row>
    <row r="35" spans="2:28" s="2" customFormat="1" ht="13.8">
      <c r="B35" s="143">
        <v>4</v>
      </c>
      <c r="C35" s="137" t="s">
        <v>179</v>
      </c>
      <c r="D35" s="159"/>
      <c r="E35" s="152"/>
      <c r="F35" s="144">
        <v>-1.5</v>
      </c>
      <c r="G35" s="145"/>
      <c r="H35" s="78"/>
      <c r="M35" s="15"/>
      <c r="N35" s="15"/>
      <c r="O35" s="15"/>
      <c r="P35" s="15"/>
      <c r="Q35" s="15"/>
      <c r="R35" s="16"/>
      <c r="S35" s="16"/>
      <c r="U35" s="68"/>
      <c r="V35" s="68"/>
      <c r="W35" s="68"/>
      <c r="X35" s="68"/>
      <c r="Y35" s="2">
        <f>D25*25.4</f>
        <v>304.79999999999995</v>
      </c>
      <c r="Z35" s="2">
        <f>E25*25.4</f>
        <v>0</v>
      </c>
      <c r="AA35" s="2">
        <f>F25*25.4</f>
        <v>762</v>
      </c>
      <c r="AB35" s="68"/>
    </row>
    <row r="36" spans="2:28" s="2" customFormat="1" ht="13.8">
      <c r="B36" s="143">
        <v>5</v>
      </c>
      <c r="C36" s="137" t="s">
        <v>103</v>
      </c>
      <c r="D36" s="159"/>
      <c r="E36" s="152"/>
      <c r="F36" s="144"/>
      <c r="G36" s="145">
        <v>-6</v>
      </c>
      <c r="H36" s="78"/>
      <c r="M36" s="15"/>
      <c r="N36" s="15"/>
      <c r="O36" s="15"/>
      <c r="P36" s="15"/>
      <c r="Q36" s="15"/>
      <c r="R36" s="16"/>
      <c r="S36" s="16"/>
      <c r="U36" s="68"/>
      <c r="V36" s="68"/>
      <c r="W36" s="68"/>
      <c r="X36" s="68"/>
      <c r="Y36" s="68"/>
      <c r="Z36" s="68"/>
      <c r="AA36" s="68"/>
      <c r="AB36" s="68"/>
    </row>
    <row r="37" spans="2:28" s="2" customFormat="1" ht="13.8">
      <c r="B37" s="143">
        <v>6</v>
      </c>
      <c r="C37" s="137" t="s">
        <v>178</v>
      </c>
      <c r="D37" s="159"/>
      <c r="E37" s="152"/>
      <c r="F37" s="144"/>
      <c r="G37" s="145"/>
      <c r="H37" s="78"/>
      <c r="M37" s="15"/>
      <c r="N37" s="15"/>
      <c r="O37" s="15"/>
      <c r="P37" s="15"/>
      <c r="Q37" s="15"/>
      <c r="R37" s="16"/>
      <c r="S37" s="16"/>
      <c r="U37" s="68"/>
      <c r="V37" s="68"/>
      <c r="W37" s="68"/>
      <c r="X37" s="68"/>
      <c r="Y37" s="68"/>
      <c r="Z37" s="107"/>
      <c r="AA37" s="68"/>
      <c r="AB37" s="68"/>
    </row>
    <row r="38" spans="2:28" s="2" customFormat="1" ht="13.8">
      <c r="B38" s="143">
        <v>7</v>
      </c>
      <c r="C38" s="137" t="s">
        <v>102</v>
      </c>
      <c r="D38" s="159"/>
      <c r="E38" s="152">
        <v>-9.5</v>
      </c>
      <c r="F38" s="144"/>
      <c r="G38" s="146">
        <v>-16.45</v>
      </c>
      <c r="H38" s="78"/>
      <c r="M38" s="15"/>
      <c r="N38" s="15"/>
      <c r="O38" s="15"/>
      <c r="P38" s="15"/>
      <c r="Q38" s="15"/>
      <c r="R38" s="16"/>
      <c r="S38" s="16"/>
      <c r="U38" s="68"/>
      <c r="V38" s="68"/>
      <c r="W38" s="68"/>
      <c r="X38" s="68"/>
      <c r="Y38" s="68"/>
      <c r="Z38" s="68"/>
      <c r="AA38" s="68"/>
      <c r="AB38" s="68"/>
    </row>
    <row r="39" spans="2:28" s="2" customFormat="1" ht="13.8">
      <c r="B39" s="143">
        <v>8</v>
      </c>
      <c r="C39" s="137" t="s">
        <v>101</v>
      </c>
      <c r="D39" s="159"/>
      <c r="E39" s="152">
        <v>-25.6</v>
      </c>
      <c r="F39" s="144">
        <v>4.5</v>
      </c>
      <c r="G39" s="145"/>
      <c r="M39" s="15"/>
      <c r="N39" s="15"/>
      <c r="O39" s="15"/>
      <c r="P39" s="15"/>
      <c r="Q39" s="15"/>
      <c r="R39" s="16"/>
      <c r="S39" s="16"/>
      <c r="U39" s="68"/>
    </row>
    <row r="40" spans="2:28" s="2" customFormat="1" ht="13.8">
      <c r="B40" s="143">
        <v>9</v>
      </c>
      <c r="C40" s="137" t="s">
        <v>100</v>
      </c>
      <c r="D40" s="159"/>
      <c r="E40" s="152"/>
      <c r="F40" s="144"/>
      <c r="G40" s="145">
        <v>-5.6</v>
      </c>
      <c r="H40" s="78"/>
      <c r="I40" s="78"/>
      <c r="J40" s="68"/>
      <c r="K40" s="68"/>
      <c r="M40" s="15"/>
      <c r="N40" s="15"/>
      <c r="O40" s="15"/>
      <c r="P40" s="15"/>
      <c r="Q40" s="15"/>
      <c r="R40" s="16"/>
      <c r="S40" s="16"/>
      <c r="U40" s="68"/>
    </row>
    <row r="41" spans="2:28" s="2" customFormat="1" ht="13.8">
      <c r="B41" s="147">
        <v>10</v>
      </c>
      <c r="C41" s="162" t="s">
        <v>99</v>
      </c>
      <c r="D41" s="163"/>
      <c r="E41" s="153"/>
      <c r="F41" s="149"/>
      <c r="G41" s="150"/>
      <c r="I41" s="67"/>
      <c r="J41" s="67"/>
      <c r="K41" s="67"/>
      <c r="M41" s="15"/>
      <c r="N41" s="15"/>
      <c r="O41" s="15"/>
      <c r="P41" s="15"/>
      <c r="Q41" s="15"/>
      <c r="R41" s="16"/>
      <c r="S41" s="16"/>
      <c r="U41" s="68"/>
    </row>
    <row r="42" spans="2:28" s="2" customFormat="1" ht="13.8">
      <c r="B42" s="68"/>
      <c r="C42" s="68"/>
      <c r="D42" s="78"/>
      <c r="E42" s="78"/>
      <c r="F42" s="78"/>
      <c r="G42" s="78"/>
      <c r="I42" s="19"/>
      <c r="J42" s="19"/>
      <c r="K42" s="19"/>
      <c r="M42" s="15"/>
      <c r="N42" s="15"/>
      <c r="O42" s="15"/>
      <c r="P42" s="15"/>
      <c r="Q42" s="15"/>
      <c r="R42" s="16"/>
      <c r="S42" s="16"/>
      <c r="U42" s="68"/>
    </row>
    <row r="43" spans="2:28" s="2" customFormat="1" ht="13.8">
      <c r="B43" s="166"/>
      <c r="C43" s="114"/>
      <c r="D43" s="173"/>
      <c r="E43" s="211" t="s">
        <v>182</v>
      </c>
      <c r="F43" s="211"/>
      <c r="G43" s="212"/>
      <c r="I43" s="19"/>
      <c r="J43" s="19"/>
      <c r="K43" s="19"/>
      <c r="M43" s="15"/>
      <c r="N43" s="15"/>
      <c r="O43" s="15"/>
      <c r="P43" s="15"/>
      <c r="Q43" s="15"/>
      <c r="R43" s="16"/>
      <c r="S43" s="16"/>
      <c r="U43" s="68"/>
    </row>
    <row r="44" spans="2:28" s="2" customFormat="1" ht="13.8">
      <c r="B44" s="167" t="s">
        <v>112</v>
      </c>
      <c r="C44" s="214" t="s">
        <v>111</v>
      </c>
      <c r="D44" s="169" t="s">
        <v>110</v>
      </c>
      <c r="E44" s="139" t="s">
        <v>109</v>
      </c>
      <c r="F44" s="139" t="s">
        <v>108</v>
      </c>
      <c r="G44" s="140" t="s">
        <v>107</v>
      </c>
      <c r="I44" s="19"/>
      <c r="J44" s="19"/>
      <c r="K44" s="19"/>
      <c r="M44" s="15"/>
      <c r="N44" s="15"/>
      <c r="O44" s="15"/>
      <c r="P44" s="15"/>
      <c r="Q44" s="15"/>
      <c r="R44" s="16"/>
      <c r="S44" s="16"/>
    </row>
    <row r="45" spans="2:28" s="2" customFormat="1" ht="13.8">
      <c r="B45" s="168"/>
      <c r="C45" s="215"/>
      <c r="D45" s="170"/>
      <c r="E45" s="148" t="s">
        <v>183</v>
      </c>
      <c r="F45" s="148" t="s">
        <v>183</v>
      </c>
      <c r="G45" s="163" t="s">
        <v>183</v>
      </c>
      <c r="I45" s="19"/>
      <c r="J45" s="19"/>
      <c r="K45" s="19"/>
      <c r="M45" s="15"/>
      <c r="N45" s="15"/>
      <c r="O45" s="15"/>
      <c r="P45" s="15"/>
      <c r="Q45" s="15"/>
      <c r="R45" s="16"/>
      <c r="S45" s="16"/>
    </row>
    <row r="46" spans="2:28" s="2" customFormat="1" ht="13.8">
      <c r="B46" s="169">
        <v>1</v>
      </c>
      <c r="C46" s="143">
        <v>1.33</v>
      </c>
      <c r="D46" s="169" t="s">
        <v>180</v>
      </c>
      <c r="E46" s="123">
        <f t="shared" ref="E46:G54" si="0">($F$17+$C$17)*E32*$C46</f>
        <v>0</v>
      </c>
      <c r="F46" s="123">
        <f t="shared" si="0"/>
        <v>0</v>
      </c>
      <c r="G46" s="124">
        <f t="shared" si="0"/>
        <v>1137.1500000000001</v>
      </c>
      <c r="I46" s="19"/>
      <c r="J46" s="19"/>
      <c r="K46" s="19"/>
      <c r="M46" s="15"/>
      <c r="N46" s="15"/>
      <c r="O46" s="15"/>
      <c r="P46" s="15"/>
      <c r="Q46" s="15"/>
      <c r="R46" s="16"/>
      <c r="S46" s="16"/>
    </row>
    <row r="47" spans="2:28" s="2" customFormat="1" ht="13.8">
      <c r="B47" s="169">
        <v>2</v>
      </c>
      <c r="C47" s="143">
        <v>1.33</v>
      </c>
      <c r="D47" s="169" t="s">
        <v>180</v>
      </c>
      <c r="E47" s="123">
        <f t="shared" si="0"/>
        <v>-3411.4500000000003</v>
      </c>
      <c r="F47" s="123">
        <f t="shared" si="0"/>
        <v>0</v>
      </c>
      <c r="G47" s="124">
        <f t="shared" si="0"/>
        <v>0</v>
      </c>
      <c r="I47" s="19"/>
      <c r="J47" s="19"/>
      <c r="K47" s="19"/>
      <c r="M47" s="15"/>
      <c r="N47" s="15"/>
      <c r="O47" s="15"/>
      <c r="P47" s="15"/>
      <c r="Q47" s="15"/>
      <c r="R47" s="16"/>
      <c r="S47" s="16"/>
    </row>
    <row r="48" spans="2:28" s="2" customFormat="1" ht="13.8">
      <c r="B48" s="169">
        <v>3</v>
      </c>
      <c r="C48" s="143">
        <v>1.33</v>
      </c>
      <c r="D48" s="169" t="s">
        <v>180</v>
      </c>
      <c r="E48" s="123">
        <f t="shared" si="0"/>
        <v>0</v>
      </c>
      <c r="F48" s="123">
        <f t="shared" si="0"/>
        <v>568.57500000000005</v>
      </c>
      <c r="G48" s="124">
        <f t="shared" si="0"/>
        <v>0</v>
      </c>
      <c r="I48" s="19"/>
      <c r="J48" s="19"/>
      <c r="K48" s="19"/>
      <c r="M48" s="15"/>
      <c r="N48" s="15"/>
      <c r="O48" s="15"/>
      <c r="P48" s="15"/>
      <c r="Q48" s="15"/>
      <c r="R48" s="16"/>
      <c r="S48" s="16"/>
    </row>
    <row r="49" spans="1:89" s="2" customFormat="1" ht="13.8">
      <c r="B49" s="169">
        <v>4</v>
      </c>
      <c r="C49" s="143">
        <v>1.33</v>
      </c>
      <c r="D49" s="169" t="s">
        <v>180</v>
      </c>
      <c r="E49" s="123">
        <f t="shared" si="0"/>
        <v>0</v>
      </c>
      <c r="F49" s="123">
        <f t="shared" si="0"/>
        <v>-568.57500000000005</v>
      </c>
      <c r="G49" s="124">
        <f t="shared" si="0"/>
        <v>0</v>
      </c>
      <c r="I49" s="19"/>
      <c r="J49" s="19"/>
      <c r="K49" s="19"/>
      <c r="M49" s="15"/>
      <c r="N49" s="15"/>
      <c r="O49" s="15"/>
      <c r="P49" s="15"/>
      <c r="Q49" s="15"/>
      <c r="R49" s="16"/>
      <c r="S49" s="16"/>
    </row>
    <row r="50" spans="1:89" s="2" customFormat="1" ht="13.8">
      <c r="B50" s="169">
        <v>5</v>
      </c>
      <c r="C50" s="143">
        <v>1.33</v>
      </c>
      <c r="D50" s="169" t="s">
        <v>180</v>
      </c>
      <c r="E50" s="123">
        <f t="shared" si="0"/>
        <v>0</v>
      </c>
      <c r="F50" s="123">
        <f t="shared" si="0"/>
        <v>0</v>
      </c>
      <c r="G50" s="124">
        <f t="shared" si="0"/>
        <v>-2274.3000000000002</v>
      </c>
      <c r="I50" s="19"/>
      <c r="J50" s="19"/>
      <c r="K50" s="19"/>
      <c r="M50" s="15"/>
      <c r="N50" s="15"/>
      <c r="O50" s="15"/>
      <c r="P50" s="15"/>
      <c r="Q50" s="15"/>
      <c r="R50" s="16"/>
      <c r="S50" s="16"/>
    </row>
    <row r="51" spans="1:89" s="2" customFormat="1" ht="13.8">
      <c r="B51" s="169">
        <v>6</v>
      </c>
      <c r="C51" s="143">
        <v>1.33</v>
      </c>
      <c r="D51" s="169" t="s">
        <v>180</v>
      </c>
      <c r="E51" s="123">
        <f t="shared" si="0"/>
        <v>0</v>
      </c>
      <c r="F51" s="123">
        <f t="shared" si="0"/>
        <v>0</v>
      </c>
      <c r="G51" s="124">
        <f t="shared" si="0"/>
        <v>0</v>
      </c>
      <c r="I51" s="19"/>
      <c r="J51" s="19"/>
      <c r="K51" s="19"/>
      <c r="M51" s="15"/>
      <c r="N51" s="15"/>
      <c r="O51" s="15"/>
      <c r="P51" s="15"/>
      <c r="Q51" s="15"/>
      <c r="R51" s="16"/>
      <c r="S51" s="16"/>
    </row>
    <row r="52" spans="1:89" s="2" customFormat="1" ht="13.8">
      <c r="B52" s="169">
        <v>7</v>
      </c>
      <c r="C52" s="171">
        <v>1</v>
      </c>
      <c r="D52" s="169"/>
      <c r="E52" s="123">
        <f t="shared" si="0"/>
        <v>-2707.5</v>
      </c>
      <c r="F52" s="123">
        <f t="shared" si="0"/>
        <v>0</v>
      </c>
      <c r="G52" s="124">
        <f t="shared" si="0"/>
        <v>-4688.25</v>
      </c>
      <c r="I52" s="19"/>
      <c r="J52" s="19"/>
      <c r="K52" s="19"/>
      <c r="M52" s="15"/>
      <c r="N52" s="15"/>
      <c r="O52" s="15"/>
      <c r="P52" s="15"/>
      <c r="Q52" s="15"/>
      <c r="R52" s="16"/>
      <c r="S52" s="16"/>
    </row>
    <row r="53" spans="1:89" s="2" customFormat="1" ht="13.8">
      <c r="B53" s="169">
        <v>8</v>
      </c>
      <c r="C53" s="171">
        <v>1</v>
      </c>
      <c r="D53" s="169"/>
      <c r="E53" s="123">
        <f t="shared" si="0"/>
        <v>-7296</v>
      </c>
      <c r="F53" s="123">
        <f t="shared" si="0"/>
        <v>1282.5</v>
      </c>
      <c r="G53" s="124">
        <f t="shared" si="0"/>
        <v>0</v>
      </c>
      <c r="I53" s="19"/>
      <c r="J53" s="19"/>
      <c r="K53" s="19"/>
      <c r="M53" s="15"/>
      <c r="N53" s="15"/>
      <c r="O53" s="15"/>
      <c r="P53" s="15"/>
      <c r="Q53" s="15"/>
      <c r="R53" s="16"/>
      <c r="S53" s="16"/>
    </row>
    <row r="54" spans="1:89" s="2" customFormat="1" ht="13.8">
      <c r="B54" s="169">
        <v>9</v>
      </c>
      <c r="C54" s="171">
        <v>1.5</v>
      </c>
      <c r="D54" s="169"/>
      <c r="E54" s="123">
        <f t="shared" si="0"/>
        <v>0</v>
      </c>
      <c r="F54" s="123">
        <f t="shared" si="0"/>
        <v>0</v>
      </c>
      <c r="G54" s="124">
        <f t="shared" si="0"/>
        <v>-2394</v>
      </c>
      <c r="H54" s="22"/>
      <c r="I54" s="19"/>
      <c r="J54" s="19"/>
      <c r="K54" s="19"/>
      <c r="M54" s="15"/>
      <c r="N54" s="15"/>
      <c r="O54" s="15"/>
      <c r="P54" s="15"/>
      <c r="Q54" s="15"/>
      <c r="R54" s="16"/>
      <c r="S54" s="16"/>
    </row>
    <row r="55" spans="1:89" s="2" customFormat="1" ht="13.8">
      <c r="A55" s="19"/>
      <c r="B55" s="170">
        <v>10</v>
      </c>
      <c r="C55" s="172">
        <v>1</v>
      </c>
      <c r="D55" s="170"/>
      <c r="E55" s="164">
        <f>($F$17+$C$17)*D41*$C55</f>
        <v>0</v>
      </c>
      <c r="F55" s="164">
        <f>($F$17+$C$17)*E41*$C55</f>
        <v>0</v>
      </c>
      <c r="G55" s="165">
        <f>($F$17+$C$17)*F41*$C55</f>
        <v>0</v>
      </c>
      <c r="H55" s="19"/>
      <c r="I55" s="19"/>
      <c r="J55" s="19"/>
      <c r="K55" s="19"/>
      <c r="M55" s="15"/>
      <c r="N55" s="15"/>
      <c r="O55" s="15"/>
      <c r="P55" s="15"/>
      <c r="Q55" s="15"/>
      <c r="R55" s="16"/>
      <c r="S55" s="16"/>
    </row>
    <row r="56" spans="1:89" s="2" customFormat="1" ht="13.8">
      <c r="A56" s="19"/>
      <c r="B56" s="19"/>
      <c r="C56" s="24"/>
      <c r="D56" s="19"/>
      <c r="E56" s="22"/>
      <c r="F56" s="19"/>
      <c r="G56" s="19"/>
      <c r="H56" s="19"/>
      <c r="I56" s="19"/>
      <c r="J56" s="19"/>
      <c r="K56" s="19"/>
      <c r="M56" s="15"/>
      <c r="N56" s="15"/>
      <c r="O56" s="15"/>
      <c r="P56" s="15"/>
      <c r="Q56" s="15"/>
      <c r="R56" s="16"/>
      <c r="S56" s="16"/>
    </row>
    <row r="57" spans="1:89" s="2" customFormat="1" ht="13.8">
      <c r="A57" s="19"/>
      <c r="B57" s="19"/>
      <c r="C57" s="19"/>
      <c r="D57" s="19"/>
      <c r="E57" s="21"/>
      <c r="F57" s="19"/>
      <c r="G57" s="19"/>
      <c r="H57" s="19"/>
      <c r="I57" s="19"/>
      <c r="J57" s="19"/>
      <c r="K57" s="19"/>
      <c r="M57" s="15"/>
      <c r="N57" s="15"/>
      <c r="O57" s="15"/>
      <c r="P57" s="15"/>
      <c r="Q57" s="15"/>
      <c r="R57" s="16"/>
      <c r="S57" s="16"/>
    </row>
    <row r="58" spans="1:89" s="2" customFormat="1" ht="13.8">
      <c r="A58" s="191"/>
      <c r="B58" s="192"/>
      <c r="C58" s="193"/>
      <c r="D58" s="191"/>
      <c r="E58" s="191"/>
      <c r="F58" s="191"/>
      <c r="G58" s="193"/>
      <c r="H58" s="191"/>
      <c r="I58" s="191"/>
      <c r="J58" s="191"/>
      <c r="K58" s="191"/>
      <c r="M58" s="15"/>
      <c r="N58" s="15"/>
      <c r="O58" s="15"/>
      <c r="P58" s="15"/>
      <c r="Q58" s="15"/>
      <c r="R58" s="16"/>
      <c r="S58" s="16"/>
    </row>
    <row r="59" spans="1:89" s="2" customFormat="1" ht="13.8">
      <c r="A59" s="191"/>
      <c r="B59" s="194"/>
      <c r="C59" s="193"/>
      <c r="D59" s="195"/>
      <c r="E59" s="195"/>
      <c r="F59" s="196" t="s">
        <v>192</v>
      </c>
      <c r="G59" s="193"/>
      <c r="H59" s="195"/>
      <c r="I59" s="195"/>
      <c r="J59" s="195"/>
      <c r="K59" s="191"/>
      <c r="M59" s="15"/>
      <c r="N59" s="15"/>
      <c r="O59" s="15"/>
      <c r="P59" s="15"/>
      <c r="Q59" s="15"/>
      <c r="R59" s="16"/>
      <c r="S59" s="16"/>
    </row>
    <row r="60" spans="1:89" s="2" customFormat="1" ht="13.8">
      <c r="A60" s="191"/>
      <c r="B60" s="195"/>
      <c r="C60" s="195"/>
      <c r="D60" s="195"/>
      <c r="E60" s="195"/>
      <c r="F60" s="197" t="s">
        <v>193</v>
      </c>
      <c r="G60" s="195"/>
      <c r="H60" s="195"/>
      <c r="I60" s="195"/>
      <c r="J60" s="195"/>
      <c r="K60" s="191"/>
      <c r="M60" s="15"/>
      <c r="N60" s="15"/>
      <c r="O60" s="15"/>
      <c r="P60" s="15"/>
      <c r="Q60" s="15"/>
      <c r="R60" s="16"/>
      <c r="S60" s="16"/>
    </row>
    <row r="61" spans="1:89" s="2" customFormat="1" ht="13.8">
      <c r="A61" s="184"/>
      <c r="E61" s="3" t="s">
        <v>1</v>
      </c>
      <c r="F61" s="5" t="str">
        <f>$C$1</f>
        <v>R. Abbott</v>
      </c>
      <c r="H61" s="4"/>
      <c r="I61" s="3" t="s">
        <v>8</v>
      </c>
      <c r="J61" s="9" t="str">
        <f>$G$2</f>
        <v>AA-SM-507</v>
      </c>
      <c r="K61" s="10"/>
      <c r="L61" s="1"/>
      <c r="M61" s="7"/>
      <c r="N61" s="7"/>
      <c r="O61" s="7"/>
      <c r="P61" s="7"/>
      <c r="Q61" s="15"/>
      <c r="R61" s="16"/>
      <c r="S61" s="16"/>
    </row>
    <row r="62" spans="1:89" s="2" customFormat="1" ht="13.8">
      <c r="E62" s="3" t="s">
        <v>2</v>
      </c>
      <c r="F62" s="4" t="str">
        <f>$C$2</f>
        <v xml:space="preserve"> </v>
      </c>
      <c r="H62" s="4"/>
      <c r="I62" s="3" t="s">
        <v>9</v>
      </c>
      <c r="J62" s="10" t="str">
        <f>$G$3</f>
        <v>IR</v>
      </c>
      <c r="K62" s="10"/>
      <c r="L62" s="1"/>
      <c r="M62" s="7">
        <v>1</v>
      </c>
      <c r="N62" s="7"/>
      <c r="O62" s="7"/>
      <c r="P62" s="7"/>
      <c r="Q62" s="15"/>
      <c r="R62" s="16"/>
      <c r="S62" s="16"/>
    </row>
    <row r="63" spans="1:89" s="2" customFormat="1" ht="13.8">
      <c r="E63" s="3" t="s">
        <v>3</v>
      </c>
      <c r="F63" s="4" t="str">
        <f>$C$3</f>
        <v>25/04/2009</v>
      </c>
      <c r="H63" s="4"/>
      <c r="I63" s="3" t="s">
        <v>6</v>
      </c>
      <c r="J63" s="5" t="str">
        <f>L63&amp;" of "&amp;$G$1</f>
        <v>2 of 3</v>
      </c>
      <c r="K63" s="4"/>
      <c r="L63" s="1">
        <f>SUM($M$1:M62)</f>
        <v>2</v>
      </c>
      <c r="M63" s="7"/>
      <c r="N63" s="7"/>
      <c r="O63" s="7"/>
      <c r="P63" s="7"/>
      <c r="Q63" s="15"/>
      <c r="R63" s="16"/>
      <c r="S63" s="16"/>
      <c r="CK63" s="2">
        <v>0</v>
      </c>
    </row>
    <row r="64" spans="1:89" s="2" customFormat="1" ht="13.8">
      <c r="E64" s="3" t="s">
        <v>24</v>
      </c>
      <c r="F64" s="4" t="str">
        <f>$C$5</f>
        <v>STANDARD SPREADSHEET METHOD</v>
      </c>
      <c r="I64" s="11"/>
      <c r="J64" s="5"/>
      <c r="M64" s="7"/>
      <c r="N64" s="7"/>
      <c r="O64" s="7"/>
      <c r="P64" s="7"/>
      <c r="Q64" s="7"/>
      <c r="R64" s="7"/>
      <c r="S64" s="7"/>
    </row>
    <row r="65" spans="1:32">
      <c r="B65" s="13" t="str">
        <f>($C$4)&amp;" "&amp;$G$4</f>
        <v xml:space="preserve"> SEAT INTERFACE LOAD CALCULATION</v>
      </c>
      <c r="M65" s="7"/>
      <c r="N65" s="7"/>
      <c r="O65" s="7"/>
      <c r="P65" s="7"/>
      <c r="Q65" s="14"/>
      <c r="R65" s="14"/>
      <c r="S65" s="14"/>
    </row>
    <row r="66" spans="1:32" s="2" customFormat="1" ht="13.8">
      <c r="M66" s="7"/>
      <c r="N66" s="7"/>
      <c r="O66" s="7"/>
      <c r="P66" s="7"/>
      <c r="Q66" s="7"/>
      <c r="R66" s="7"/>
      <c r="S66" s="7"/>
    </row>
    <row r="67" spans="1:32" s="2" customFormat="1" ht="13.8">
      <c r="M67" s="7"/>
      <c r="N67" s="7"/>
      <c r="O67" s="7"/>
      <c r="P67" s="7"/>
      <c r="Q67" s="7"/>
      <c r="R67" s="7"/>
      <c r="S67" s="7"/>
      <c r="V67" s="68"/>
      <c r="W67" s="110" t="s">
        <v>145</v>
      </c>
      <c r="X67" s="68"/>
      <c r="Y67" s="68"/>
      <c r="AA67" s="68"/>
      <c r="AB67" s="110" t="s">
        <v>144</v>
      </c>
      <c r="AC67" s="68"/>
      <c r="AE67" s="110" t="s">
        <v>143</v>
      </c>
      <c r="AF67" s="68"/>
    </row>
    <row r="68" spans="1:32" s="2" customFormat="1" ht="13.8">
      <c r="A68" s="17"/>
      <c r="B68" s="17"/>
      <c r="C68" s="17"/>
      <c r="D68" s="17"/>
      <c r="E68" s="17"/>
      <c r="F68" s="17"/>
      <c r="G68" s="17"/>
      <c r="H68" s="17"/>
      <c r="I68" s="17"/>
      <c r="J68" s="17"/>
      <c r="K68" s="17"/>
      <c r="M68" s="15"/>
      <c r="N68" s="15"/>
      <c r="O68" s="15"/>
      <c r="P68" s="15"/>
      <c r="Q68" s="15"/>
      <c r="R68" s="16"/>
      <c r="S68" s="16"/>
      <c r="V68" s="68"/>
      <c r="W68" s="68"/>
      <c r="X68" s="68"/>
      <c r="Y68" s="68"/>
      <c r="AA68" s="68"/>
      <c r="AB68" s="68"/>
      <c r="AC68" s="68"/>
      <c r="AE68" s="68"/>
      <c r="AF68" s="68"/>
    </row>
    <row r="69" spans="1:32" s="2" customFormat="1" ht="13.8">
      <c r="A69" s="17"/>
      <c r="B69" s="17"/>
      <c r="C69" s="17"/>
      <c r="D69" s="17"/>
      <c r="E69" s="17"/>
      <c r="F69" s="17"/>
      <c r="G69" s="17"/>
      <c r="H69" s="17"/>
      <c r="I69" s="17"/>
      <c r="J69" s="17"/>
      <c r="K69" s="17"/>
      <c r="M69" s="15"/>
      <c r="N69" s="15"/>
      <c r="O69" s="15"/>
      <c r="P69" s="15"/>
      <c r="Q69" s="15"/>
      <c r="R69" s="16"/>
      <c r="S69" s="16"/>
      <c r="V69" s="68"/>
      <c r="W69" s="107" t="s">
        <v>140</v>
      </c>
      <c r="X69" s="68">
        <v>304</v>
      </c>
      <c r="Y69" s="68">
        <v>250</v>
      </c>
      <c r="AA69" s="68"/>
      <c r="AB69" s="68">
        <f>AA15</f>
        <v>250</v>
      </c>
      <c r="AC69" s="68">
        <f>Z15</f>
        <v>390</v>
      </c>
      <c r="AE69" s="68">
        <f>X88</f>
        <v>0</v>
      </c>
      <c r="AF69" s="68">
        <f>-AB78</f>
        <v>-135</v>
      </c>
    </row>
    <row r="70" spans="1:32" s="2" customFormat="1" ht="13.8">
      <c r="A70" s="17"/>
      <c r="B70" s="17"/>
      <c r="C70" s="17"/>
      <c r="D70" s="17"/>
      <c r="E70" s="17"/>
      <c r="F70" s="17"/>
      <c r="G70" s="17"/>
      <c r="H70" s="17"/>
      <c r="I70" s="17"/>
      <c r="J70" s="17"/>
      <c r="K70" s="17"/>
      <c r="M70" s="15"/>
      <c r="N70" s="15"/>
      <c r="O70" s="15"/>
      <c r="P70" s="15"/>
      <c r="Q70" s="15"/>
      <c r="R70" s="16"/>
      <c r="S70" s="16"/>
      <c r="V70" s="68"/>
      <c r="W70" s="68"/>
      <c r="X70" s="68">
        <v>315</v>
      </c>
      <c r="Y70" s="68">
        <v>327</v>
      </c>
      <c r="AA70" s="68"/>
      <c r="AB70" s="68">
        <f>AB15</f>
        <v>-250</v>
      </c>
      <c r="AC70" s="68">
        <f>Z15</f>
        <v>390</v>
      </c>
      <c r="AE70" s="68">
        <f>AE69</f>
        <v>0</v>
      </c>
      <c r="AF70" s="68">
        <f>-AB79</f>
        <v>135</v>
      </c>
    </row>
    <row r="71" spans="1:32" s="2" customFormat="1" ht="13.8">
      <c r="A71" s="17"/>
      <c r="B71" s="17"/>
      <c r="C71" s="17"/>
      <c r="D71" s="17"/>
      <c r="E71" s="17"/>
      <c r="F71" s="17"/>
      <c r="G71" s="17"/>
      <c r="H71" s="17"/>
      <c r="I71" s="17"/>
      <c r="J71" s="17"/>
      <c r="K71" s="17"/>
      <c r="M71" s="15"/>
      <c r="N71" s="15"/>
      <c r="O71" s="15"/>
      <c r="P71" s="15"/>
      <c r="Q71" s="15"/>
      <c r="R71" s="16"/>
      <c r="S71" s="16"/>
      <c r="V71" s="68"/>
      <c r="W71" s="68"/>
      <c r="X71" s="68">
        <v>271</v>
      </c>
      <c r="Y71" s="68">
        <v>334</v>
      </c>
      <c r="AA71" s="68"/>
      <c r="AB71" s="68"/>
      <c r="AC71" s="68"/>
      <c r="AE71" s="68"/>
      <c r="AF71" s="68"/>
    </row>
    <row r="72" spans="1:32" s="2" customFormat="1" ht="13.8">
      <c r="A72" s="17"/>
      <c r="B72" s="17"/>
      <c r="C72" s="17"/>
      <c r="D72" s="17"/>
      <c r="E72" s="17"/>
      <c r="F72" s="17"/>
      <c r="G72" s="17"/>
      <c r="H72" s="17"/>
      <c r="I72" s="17"/>
      <c r="J72" s="17"/>
      <c r="K72" s="17"/>
      <c r="M72" s="15"/>
      <c r="N72" s="15"/>
      <c r="O72" s="15"/>
      <c r="P72" s="15"/>
      <c r="Q72" s="15"/>
      <c r="R72" s="16"/>
      <c r="S72" s="15"/>
      <c r="V72" s="68"/>
      <c r="W72" s="68"/>
      <c r="X72" s="68">
        <v>260</v>
      </c>
      <c r="Y72" s="68">
        <v>257</v>
      </c>
      <c r="AA72" s="68"/>
      <c r="AB72" s="68">
        <v>135</v>
      </c>
      <c r="AC72" s="68">
        <f>Y22</f>
        <v>42.5</v>
      </c>
      <c r="AE72" s="68">
        <f>X85</f>
        <v>318</v>
      </c>
      <c r="AF72" s="68">
        <f>AF69</f>
        <v>-135</v>
      </c>
    </row>
    <row r="73" spans="1:32" s="2" customFormat="1" ht="13.8">
      <c r="A73" s="17"/>
      <c r="B73" s="17"/>
      <c r="C73" s="17"/>
      <c r="D73" s="17"/>
      <c r="E73" s="17"/>
      <c r="F73" s="17"/>
      <c r="G73" s="17"/>
      <c r="H73" s="17"/>
      <c r="I73" s="17"/>
      <c r="J73" s="17"/>
      <c r="K73" s="17"/>
      <c r="M73" s="15"/>
      <c r="N73" s="15"/>
      <c r="O73" s="15"/>
      <c r="P73" s="15"/>
      <c r="Q73" s="15"/>
      <c r="R73" s="16"/>
      <c r="S73" s="16"/>
      <c r="V73" s="68"/>
      <c r="W73" s="68"/>
      <c r="X73" s="68">
        <f>X69</f>
        <v>304</v>
      </c>
      <c r="Y73" s="68">
        <f>Y69</f>
        <v>250</v>
      </c>
      <c r="Z73" s="68">
        <v>115</v>
      </c>
      <c r="AB73" s="68">
        <f>Z73-250</f>
        <v>-135</v>
      </c>
      <c r="AC73" s="68">
        <f>Y22</f>
        <v>42.5</v>
      </c>
      <c r="AE73" s="68">
        <f>AE72</f>
        <v>318</v>
      </c>
      <c r="AF73" s="68">
        <f>AF70</f>
        <v>135</v>
      </c>
    </row>
    <row r="74" spans="1:32" s="2" customFormat="1" ht="13.8">
      <c r="A74" s="17"/>
      <c r="B74" s="17"/>
      <c r="C74" s="17"/>
      <c r="D74" s="17"/>
      <c r="E74" s="17"/>
      <c r="F74" s="17"/>
      <c r="G74" s="17"/>
      <c r="H74" s="17"/>
      <c r="I74" s="17"/>
      <c r="J74" s="17"/>
      <c r="K74" s="17"/>
      <c r="M74" s="15"/>
      <c r="N74" s="15"/>
      <c r="O74" s="15"/>
      <c r="P74" s="15"/>
      <c r="Q74" s="15"/>
      <c r="R74" s="16"/>
      <c r="S74" s="16"/>
      <c r="V74" s="68"/>
      <c r="W74" s="68"/>
      <c r="X74" s="68"/>
      <c r="Y74" s="68"/>
      <c r="AA74" s="68"/>
      <c r="AB74" s="68"/>
      <c r="AC74" s="68"/>
      <c r="AE74" s="68"/>
      <c r="AF74" s="68"/>
    </row>
    <row r="75" spans="1:32" s="2" customFormat="1" ht="13.8">
      <c r="A75" s="17"/>
      <c r="B75" s="17"/>
      <c r="C75" s="17"/>
      <c r="D75" s="17"/>
      <c r="E75" s="17"/>
      <c r="F75" s="17"/>
      <c r="G75" s="17"/>
      <c r="H75" s="17"/>
      <c r="I75" s="17"/>
      <c r="J75" s="17"/>
      <c r="K75" s="17"/>
      <c r="M75" s="15"/>
      <c r="N75" s="15"/>
      <c r="O75" s="15"/>
      <c r="P75" s="15"/>
      <c r="Q75" s="15"/>
      <c r="R75" s="16"/>
      <c r="S75" s="16"/>
      <c r="V75" s="68"/>
      <c r="W75" s="68" t="s">
        <v>135</v>
      </c>
      <c r="X75" s="68">
        <f>Y15</f>
        <v>0</v>
      </c>
      <c r="Y75" s="68">
        <f>Z15</f>
        <v>390</v>
      </c>
      <c r="AA75" s="68"/>
      <c r="AB75" s="68">
        <f>AB69</f>
        <v>250</v>
      </c>
      <c r="AC75" s="68">
        <f>AC69</f>
        <v>390</v>
      </c>
      <c r="AE75" s="68">
        <f>AE69</f>
        <v>0</v>
      </c>
      <c r="AF75" s="68">
        <f>AF69</f>
        <v>-135</v>
      </c>
    </row>
    <row r="76" spans="1:32" s="2" customFormat="1" ht="13.8">
      <c r="A76" s="17"/>
      <c r="B76" s="17"/>
      <c r="C76" s="17"/>
      <c r="D76" s="17"/>
      <c r="E76" s="17"/>
      <c r="F76" s="17"/>
      <c r="G76" s="17"/>
      <c r="H76" s="17"/>
      <c r="I76" s="17"/>
      <c r="J76" s="17"/>
      <c r="K76" s="17"/>
      <c r="M76" s="15"/>
      <c r="N76" s="15"/>
      <c r="O76" s="15"/>
      <c r="P76" s="15"/>
      <c r="Q76" s="15"/>
      <c r="R76" s="16"/>
      <c r="S76" s="16"/>
      <c r="V76" s="68"/>
      <c r="W76" s="68"/>
      <c r="X76" s="68">
        <f>Y18</f>
        <v>0</v>
      </c>
      <c r="Y76" s="68">
        <f>Y22</f>
        <v>42.5</v>
      </c>
      <c r="AA76" s="68"/>
      <c r="AB76" s="68">
        <f>AB70</f>
        <v>-250</v>
      </c>
      <c r="AC76" s="68">
        <f>AC70</f>
        <v>390</v>
      </c>
      <c r="AE76" s="68">
        <f>AE72</f>
        <v>318</v>
      </c>
      <c r="AF76" s="68">
        <f>AF72</f>
        <v>-135</v>
      </c>
    </row>
    <row r="77" spans="1:32" s="2" customFormat="1" ht="13.8">
      <c r="A77" s="17"/>
      <c r="B77" s="17"/>
      <c r="C77" s="17"/>
      <c r="D77" s="17"/>
      <c r="E77" s="17"/>
      <c r="F77" s="17"/>
      <c r="G77" s="17"/>
      <c r="H77" s="17"/>
      <c r="I77" s="17"/>
      <c r="J77" s="17"/>
      <c r="K77" s="17"/>
      <c r="M77" s="15"/>
      <c r="N77" s="15"/>
      <c r="O77" s="15"/>
      <c r="P77" s="15"/>
      <c r="Q77" s="15"/>
      <c r="R77" s="16"/>
      <c r="S77" s="16"/>
      <c r="V77" s="68"/>
      <c r="W77" s="68"/>
      <c r="X77" s="68"/>
      <c r="Y77" s="68"/>
      <c r="AA77" s="68"/>
      <c r="AB77" s="68"/>
      <c r="AC77" s="68"/>
      <c r="AE77" s="68"/>
      <c r="AF77" s="68"/>
    </row>
    <row r="78" spans="1:32" s="2" customFormat="1" ht="13.8">
      <c r="A78" s="17"/>
      <c r="B78" s="17"/>
      <c r="C78" s="17"/>
      <c r="D78" s="17"/>
      <c r="E78" s="17"/>
      <c r="F78" s="17"/>
      <c r="G78" s="17"/>
      <c r="H78" s="17"/>
      <c r="I78" s="17"/>
      <c r="J78" s="17"/>
      <c r="K78" s="17"/>
      <c r="M78" s="15"/>
      <c r="N78" s="15"/>
      <c r="O78" s="15"/>
      <c r="P78" s="15"/>
      <c r="Q78" s="15"/>
      <c r="R78" s="16"/>
      <c r="S78" s="16"/>
      <c r="V78" s="68"/>
      <c r="W78" s="68"/>
      <c r="X78" s="68">
        <f>Y18</f>
        <v>0</v>
      </c>
      <c r="Y78" s="68">
        <f>Y19</f>
        <v>42.5</v>
      </c>
      <c r="AA78" s="68"/>
      <c r="AB78" s="68">
        <f>AB72</f>
        <v>135</v>
      </c>
      <c r="AC78" s="68">
        <f>AC72</f>
        <v>42.5</v>
      </c>
      <c r="AE78" s="68">
        <f>AE70</f>
        <v>0</v>
      </c>
      <c r="AF78" s="68">
        <f>AF70</f>
        <v>135</v>
      </c>
    </row>
    <row r="79" spans="1:32" s="2" customFormat="1" ht="13.8">
      <c r="A79" s="17"/>
      <c r="B79" s="17"/>
      <c r="C79" s="17"/>
      <c r="D79" s="17"/>
      <c r="E79" s="17"/>
      <c r="F79" s="17"/>
      <c r="G79" s="17"/>
      <c r="H79" s="17"/>
      <c r="I79" s="17"/>
      <c r="J79" s="17"/>
      <c r="K79" s="17"/>
      <c r="M79" s="15"/>
      <c r="N79" s="15"/>
      <c r="O79" s="15"/>
      <c r="P79" s="15"/>
      <c r="Q79" s="15"/>
      <c r="R79" s="16"/>
      <c r="S79" s="18"/>
      <c r="V79" s="68"/>
      <c r="W79" s="68"/>
      <c r="X79" s="68">
        <f>Y21</f>
        <v>318</v>
      </c>
      <c r="Y79" s="68">
        <f>Y22</f>
        <v>42.5</v>
      </c>
      <c r="AA79" s="68"/>
      <c r="AB79" s="68">
        <f>AB73</f>
        <v>-135</v>
      </c>
      <c r="AC79" s="68">
        <f>AC73</f>
        <v>42.5</v>
      </c>
      <c r="AE79" s="68">
        <f>AE73</f>
        <v>318</v>
      </c>
      <c r="AF79" s="68">
        <f>AF73</f>
        <v>135</v>
      </c>
    </row>
    <row r="80" spans="1:32" s="2" customFormat="1" ht="13.8">
      <c r="A80" s="17"/>
      <c r="B80" s="17"/>
      <c r="C80" s="17"/>
      <c r="D80" s="17"/>
      <c r="E80" s="17"/>
      <c r="F80" s="17"/>
      <c r="G80" s="17"/>
      <c r="H80" s="17"/>
      <c r="I80" s="17"/>
      <c r="J80" s="17"/>
      <c r="K80" s="17"/>
      <c r="M80" s="15"/>
      <c r="N80" s="15"/>
      <c r="O80" s="15"/>
      <c r="P80" s="15"/>
      <c r="Q80" s="15"/>
      <c r="R80" s="16"/>
      <c r="S80" s="16"/>
      <c r="V80" s="68"/>
      <c r="W80" s="68"/>
      <c r="X80" s="68"/>
      <c r="Y80" s="68"/>
      <c r="AA80" s="68"/>
      <c r="AB80" s="68"/>
      <c r="AC80" s="68"/>
      <c r="AE80" s="68"/>
      <c r="AF80" s="68"/>
    </row>
    <row r="81" spans="1:77" s="2" customFormat="1" ht="13.8">
      <c r="A81" s="17"/>
      <c r="B81" s="17"/>
      <c r="C81" s="17"/>
      <c r="D81" s="17"/>
      <c r="E81" s="17"/>
      <c r="F81" s="17"/>
      <c r="G81" s="17"/>
      <c r="H81" s="17"/>
      <c r="I81" s="17"/>
      <c r="J81" s="17"/>
      <c r="K81" s="17"/>
      <c r="M81" s="15"/>
      <c r="N81" s="15"/>
      <c r="O81" s="15"/>
      <c r="P81" s="15"/>
      <c r="Q81" s="15"/>
      <c r="R81" s="16"/>
      <c r="S81" s="16"/>
      <c r="V81" s="68"/>
      <c r="W81" s="68"/>
      <c r="X81" s="68">
        <f>Y21</f>
        <v>318</v>
      </c>
      <c r="Y81" s="68">
        <f>Y22</f>
        <v>42.5</v>
      </c>
      <c r="AA81" s="68"/>
      <c r="AB81" s="68">
        <f>AB69</f>
        <v>250</v>
      </c>
      <c r="AC81" s="68">
        <f>AC69</f>
        <v>390</v>
      </c>
      <c r="AE81" s="68">
        <f>X84</f>
        <v>0</v>
      </c>
      <c r="AF81" s="68">
        <f>AB75</f>
        <v>250</v>
      </c>
    </row>
    <row r="82" spans="1:77" s="2" customFormat="1" ht="13.8">
      <c r="A82" s="17"/>
      <c r="B82" s="17"/>
      <c r="C82" s="17"/>
      <c r="D82" s="17"/>
      <c r="E82" s="17"/>
      <c r="F82" s="17"/>
      <c r="G82" s="17"/>
      <c r="H82" s="17"/>
      <c r="I82" s="17"/>
      <c r="J82" s="17"/>
      <c r="K82" s="17"/>
      <c r="M82" s="15"/>
      <c r="N82" s="15"/>
      <c r="O82" s="15"/>
      <c r="P82" s="15"/>
      <c r="Q82" s="15"/>
      <c r="R82" s="16"/>
      <c r="S82" s="16"/>
      <c r="V82" s="68"/>
      <c r="W82" s="68"/>
      <c r="X82" s="68">
        <f>Y24</f>
        <v>410</v>
      </c>
      <c r="Y82" s="68">
        <f>Z24</f>
        <v>395</v>
      </c>
      <c r="AA82" s="68"/>
      <c r="AB82" s="68">
        <f>AB72</f>
        <v>135</v>
      </c>
      <c r="AC82" s="68">
        <f>AC72</f>
        <v>42.5</v>
      </c>
      <c r="AE82" s="68">
        <f>AE81</f>
        <v>0</v>
      </c>
      <c r="AF82" s="68">
        <f>AB76</f>
        <v>-250</v>
      </c>
    </row>
    <row r="83" spans="1:77" s="2" customFormat="1" ht="13.8">
      <c r="A83" s="17"/>
      <c r="B83" s="17"/>
      <c r="C83" s="17"/>
      <c r="D83" s="17"/>
      <c r="E83" s="17"/>
      <c r="F83" s="17"/>
      <c r="G83" s="17"/>
      <c r="H83" s="17"/>
      <c r="I83" s="17"/>
      <c r="J83" s="17"/>
      <c r="K83" s="17"/>
      <c r="M83" s="15"/>
      <c r="N83" s="15"/>
      <c r="O83" s="15"/>
      <c r="P83" s="15"/>
      <c r="Q83" s="15"/>
      <c r="R83" s="16"/>
      <c r="S83" s="16"/>
      <c r="V83" s="68"/>
      <c r="W83" s="68"/>
      <c r="X83" s="68"/>
      <c r="Y83" s="68"/>
      <c r="AA83" s="68"/>
      <c r="AB83" s="68"/>
      <c r="AC83" s="68"/>
      <c r="AE83" s="68"/>
      <c r="AF83" s="68"/>
    </row>
    <row r="84" spans="1:77" s="2" customFormat="1" ht="13.8">
      <c r="A84" s="17"/>
      <c r="B84" s="17"/>
      <c r="C84" s="17"/>
      <c r="D84" s="17"/>
      <c r="E84" s="17"/>
      <c r="F84" s="17"/>
      <c r="G84" s="17"/>
      <c r="H84" s="17"/>
      <c r="I84" s="17"/>
      <c r="J84" s="17"/>
      <c r="K84" s="17"/>
      <c r="M84" s="15"/>
      <c r="N84" s="15"/>
      <c r="O84" s="15"/>
      <c r="P84" s="15"/>
      <c r="Q84" s="15"/>
      <c r="R84" s="16"/>
      <c r="S84" s="16"/>
      <c r="V84" s="68"/>
      <c r="W84" s="68"/>
      <c r="X84" s="68">
        <f>Y15</f>
        <v>0</v>
      </c>
      <c r="Y84" s="68">
        <f>Z15</f>
        <v>390</v>
      </c>
      <c r="AA84" s="68"/>
      <c r="AB84" s="68">
        <f>AB70</f>
        <v>-250</v>
      </c>
      <c r="AC84" s="68">
        <f>AC70</f>
        <v>390</v>
      </c>
      <c r="AE84" s="68">
        <f>X87</f>
        <v>410</v>
      </c>
      <c r="AF84" s="68">
        <f>AB76</f>
        <v>-250</v>
      </c>
    </row>
    <row r="85" spans="1:77" s="2" customFormat="1" ht="13.8">
      <c r="A85" s="17"/>
      <c r="B85" s="17"/>
      <c r="C85" s="17"/>
      <c r="D85" s="17"/>
      <c r="E85" s="17"/>
      <c r="F85" s="17"/>
      <c r="G85" s="17"/>
      <c r="H85" s="17"/>
      <c r="I85" s="17"/>
      <c r="J85" s="17"/>
      <c r="K85" s="17"/>
      <c r="M85" s="15"/>
      <c r="N85" s="15"/>
      <c r="O85" s="15"/>
      <c r="P85" s="15"/>
      <c r="Q85" s="15"/>
      <c r="R85" s="16"/>
      <c r="S85" s="16"/>
      <c r="V85" s="68"/>
      <c r="W85" s="68"/>
      <c r="X85" s="68">
        <f>Y21</f>
        <v>318</v>
      </c>
      <c r="Y85" s="68">
        <f>Y22</f>
        <v>42.5</v>
      </c>
      <c r="Z85" s="67"/>
      <c r="AA85" s="68"/>
      <c r="AB85" s="68">
        <f>AB73</f>
        <v>-135</v>
      </c>
      <c r="AC85" s="68">
        <f>AC73</f>
        <v>42.5</v>
      </c>
      <c r="AD85" s="67"/>
      <c r="AE85" s="68">
        <f>X87</f>
        <v>410</v>
      </c>
      <c r="AF85" s="68">
        <f>AB75</f>
        <v>250</v>
      </c>
      <c r="AG85" s="67"/>
      <c r="AH85" s="67"/>
      <c r="AI85" s="67"/>
      <c r="AJ85" s="67"/>
      <c r="AK85" s="67"/>
      <c r="AL85" s="67"/>
      <c r="AM85" s="67"/>
      <c r="AN85" s="67"/>
      <c r="AO85" s="67"/>
      <c r="AP85" s="67"/>
      <c r="AQ85" s="67"/>
      <c r="AR85" s="67"/>
      <c r="AS85" s="67"/>
      <c r="AT85" s="67"/>
      <c r="AU85" s="67"/>
      <c r="AV85" s="67"/>
      <c r="AW85" s="67"/>
      <c r="AX85" s="67"/>
      <c r="AY85" s="67"/>
      <c r="AZ85" s="67"/>
      <c r="BA85" s="67"/>
      <c r="BB85" s="67"/>
      <c r="BC85" s="67"/>
      <c r="BD85" s="67"/>
      <c r="BE85" s="67"/>
      <c r="BF85" s="67"/>
      <c r="BG85" s="67"/>
      <c r="BH85" s="67"/>
      <c r="BI85" s="67"/>
      <c r="BJ85" s="67"/>
      <c r="BK85" s="67"/>
      <c r="BL85" s="67"/>
      <c r="BS85" s="67"/>
      <c r="BT85" s="67"/>
      <c r="BU85" s="67"/>
      <c r="BV85" s="67"/>
      <c r="BW85" s="67"/>
      <c r="BX85" s="67"/>
      <c r="BY85" s="67"/>
    </row>
    <row r="86" spans="1:77" s="2" customFormat="1" ht="13.8">
      <c r="A86" s="17"/>
      <c r="B86" s="17"/>
      <c r="C86" s="17"/>
      <c r="D86" s="17"/>
      <c r="E86" s="17"/>
      <c r="F86" s="17"/>
      <c r="G86" s="17"/>
      <c r="H86" s="17"/>
      <c r="I86" s="17"/>
      <c r="J86" s="17"/>
      <c r="K86" s="17"/>
      <c r="M86" s="15"/>
      <c r="N86" s="15"/>
      <c r="O86" s="15"/>
      <c r="P86" s="15"/>
      <c r="Q86" s="15"/>
      <c r="R86" s="16"/>
      <c r="S86" s="18"/>
      <c r="V86" s="68"/>
      <c r="W86" s="68"/>
      <c r="X86" s="68"/>
      <c r="Y86" s="68"/>
      <c r="Z86" s="67"/>
      <c r="AA86" s="68"/>
      <c r="AB86" s="68"/>
      <c r="AC86" s="68"/>
      <c r="AD86" s="67"/>
      <c r="AE86" s="68"/>
      <c r="AF86" s="68"/>
      <c r="AG86" s="67"/>
      <c r="AH86" s="67"/>
      <c r="AI86" s="67"/>
      <c r="AJ86" s="67"/>
      <c r="AK86" s="67"/>
      <c r="AL86" s="67"/>
      <c r="AM86" s="67"/>
      <c r="AN86" s="67"/>
      <c r="AO86" s="67"/>
      <c r="AP86" s="67"/>
      <c r="AQ86" s="67"/>
      <c r="AR86" s="67"/>
      <c r="AS86" s="67"/>
      <c r="AT86" s="67"/>
      <c r="AU86" s="67"/>
      <c r="AV86" s="67"/>
      <c r="AW86" s="67"/>
      <c r="AX86" s="67"/>
      <c r="AY86" s="67"/>
      <c r="AZ86" s="67"/>
      <c r="BA86" s="67"/>
      <c r="BB86" s="67"/>
      <c r="BC86" s="67"/>
      <c r="BD86" s="67"/>
      <c r="BE86" s="67"/>
      <c r="BF86" s="67"/>
      <c r="BG86" s="67"/>
      <c r="BH86" s="67"/>
      <c r="BI86" s="67"/>
      <c r="BJ86" s="67"/>
      <c r="BK86" s="67"/>
      <c r="BL86" s="67"/>
      <c r="BS86" s="67"/>
      <c r="BT86" s="67"/>
      <c r="BU86" s="67"/>
      <c r="BV86" s="67"/>
      <c r="BW86" s="67"/>
      <c r="BX86" s="67"/>
      <c r="BY86" s="67"/>
    </row>
    <row r="87" spans="1:77" s="2" customFormat="1" ht="13.8">
      <c r="A87" s="17"/>
      <c r="B87" s="17"/>
      <c r="C87" s="17"/>
      <c r="D87" s="17"/>
      <c r="E87" s="17"/>
      <c r="F87" s="17"/>
      <c r="G87" s="17"/>
      <c r="H87" s="17"/>
      <c r="I87" s="17"/>
      <c r="J87" s="17"/>
      <c r="K87" s="17"/>
      <c r="M87" s="15"/>
      <c r="N87" s="15"/>
      <c r="O87" s="15"/>
      <c r="P87" s="15"/>
      <c r="Q87" s="15"/>
      <c r="R87" s="16"/>
      <c r="S87" s="16"/>
      <c r="V87" s="68"/>
      <c r="W87" s="68"/>
      <c r="X87" s="68">
        <f>Y24</f>
        <v>410</v>
      </c>
      <c r="Y87" s="68">
        <f>Z24</f>
        <v>395</v>
      </c>
      <c r="Z87" s="67"/>
      <c r="AA87" s="68"/>
      <c r="AB87" s="68">
        <f>AB69</f>
        <v>250</v>
      </c>
      <c r="AC87" s="68">
        <f>AC69</f>
        <v>390</v>
      </c>
      <c r="AD87" s="67"/>
      <c r="AE87" s="68">
        <f>AE81</f>
        <v>0</v>
      </c>
      <c r="AF87" s="68">
        <f>AF81</f>
        <v>250</v>
      </c>
      <c r="AG87" s="67"/>
      <c r="AH87" s="67"/>
      <c r="AI87" s="67"/>
      <c r="AJ87" s="67"/>
      <c r="AK87" s="67"/>
      <c r="AL87" s="67"/>
      <c r="AM87" s="67"/>
      <c r="AN87" s="67"/>
      <c r="AO87" s="67"/>
      <c r="AP87" s="67"/>
      <c r="AQ87" s="67"/>
      <c r="AR87" s="67"/>
      <c r="AS87" s="67"/>
      <c r="AT87" s="67"/>
      <c r="AU87" s="67"/>
      <c r="AV87" s="67"/>
      <c r="AW87" s="67"/>
      <c r="AX87" s="67"/>
      <c r="AY87" s="67"/>
      <c r="AZ87" s="67"/>
      <c r="BA87" s="67"/>
      <c r="BB87" s="67"/>
      <c r="BC87" s="67"/>
      <c r="BD87" s="67"/>
      <c r="BE87" s="67"/>
      <c r="BF87" s="67"/>
      <c r="BG87" s="67"/>
      <c r="BH87" s="67"/>
      <c r="BI87" s="67"/>
      <c r="BJ87" s="67"/>
      <c r="BK87" s="67"/>
      <c r="BL87" s="67"/>
      <c r="BS87" s="67"/>
      <c r="BT87" s="67"/>
      <c r="BU87" s="67"/>
      <c r="BV87" s="67"/>
      <c r="BW87" s="67"/>
      <c r="BX87" s="67"/>
      <c r="BY87" s="67"/>
    </row>
    <row r="88" spans="1:77" s="2" customFormat="1" ht="13.8">
      <c r="A88" s="17"/>
      <c r="B88" s="17"/>
      <c r="C88" s="17"/>
      <c r="D88" s="17"/>
      <c r="E88" s="17"/>
      <c r="K88" s="17"/>
      <c r="M88" s="15"/>
      <c r="N88" s="15"/>
      <c r="O88" s="15"/>
      <c r="P88" s="15"/>
      <c r="Q88" s="15"/>
      <c r="R88" s="16"/>
      <c r="S88" s="16"/>
      <c r="V88" s="68"/>
      <c r="W88" s="68"/>
      <c r="X88" s="68">
        <f>Y18</f>
        <v>0</v>
      </c>
      <c r="Y88" s="68">
        <f>Y19</f>
        <v>42.5</v>
      </c>
      <c r="Z88" s="67"/>
      <c r="AA88" s="68"/>
      <c r="AB88" s="68">
        <f>AB73</f>
        <v>-135</v>
      </c>
      <c r="AC88" s="68">
        <f>AC73</f>
        <v>42.5</v>
      </c>
      <c r="AD88" s="67"/>
      <c r="AE88" s="68">
        <f>AE75</f>
        <v>0</v>
      </c>
      <c r="AF88" s="68">
        <f>AF75</f>
        <v>-135</v>
      </c>
      <c r="AG88" s="67"/>
      <c r="AH88" s="67"/>
      <c r="AI88" s="67"/>
      <c r="AJ88" s="67"/>
      <c r="AK88" s="67"/>
      <c r="AL88" s="67"/>
      <c r="AM88" s="67"/>
      <c r="AN88" s="67"/>
      <c r="AO88" s="67"/>
      <c r="AP88" s="67"/>
      <c r="AQ88" s="67"/>
      <c r="AR88" s="67"/>
      <c r="AS88" s="67"/>
      <c r="AT88" s="67"/>
      <c r="AU88" s="67"/>
      <c r="AV88" s="67"/>
      <c r="AW88" s="67"/>
      <c r="AX88" s="67"/>
      <c r="AY88" s="67"/>
      <c r="AZ88" s="67"/>
      <c r="BA88" s="67"/>
      <c r="BB88" s="67"/>
      <c r="BC88" s="67"/>
      <c r="BD88" s="67"/>
      <c r="BE88" s="67"/>
      <c r="BF88" s="67"/>
      <c r="BG88" s="67"/>
      <c r="BH88" s="67"/>
      <c r="BI88" s="67"/>
      <c r="BJ88" s="67"/>
      <c r="BK88" s="67"/>
      <c r="BL88" s="67"/>
      <c r="BS88" s="67"/>
      <c r="BT88" s="67"/>
      <c r="BU88" s="67"/>
      <c r="BV88" s="67"/>
      <c r="BW88" s="67"/>
      <c r="BX88" s="67"/>
      <c r="BY88" s="67"/>
    </row>
    <row r="89" spans="1:77" s="2" customFormat="1" ht="13.8">
      <c r="A89" s="17"/>
      <c r="B89" s="17"/>
      <c r="C89" s="17"/>
      <c r="D89" s="17"/>
      <c r="E89" s="17"/>
      <c r="K89" s="17"/>
      <c r="M89" s="15"/>
      <c r="N89" s="15"/>
      <c r="O89" s="15"/>
      <c r="P89" s="15"/>
      <c r="Q89" s="15"/>
      <c r="R89" s="16"/>
      <c r="S89" s="16"/>
      <c r="V89" s="68"/>
      <c r="W89" s="68"/>
      <c r="X89" s="68"/>
      <c r="Y89" s="68"/>
      <c r="AA89" s="68"/>
      <c r="AB89" s="68"/>
      <c r="AC89" s="68"/>
      <c r="AE89" s="68"/>
      <c r="AF89" s="68"/>
      <c r="AG89" s="67"/>
      <c r="AH89" s="67"/>
      <c r="AI89" s="67"/>
      <c r="AJ89" s="67"/>
      <c r="AQ89" s="67"/>
      <c r="AR89" s="67"/>
      <c r="AS89" s="67"/>
      <c r="AT89" s="67"/>
      <c r="AU89" s="67"/>
      <c r="AV89" s="67"/>
      <c r="AW89" s="67"/>
      <c r="AX89" s="67"/>
      <c r="AY89" s="67"/>
      <c r="AZ89" s="67"/>
      <c r="BA89" s="67"/>
      <c r="BG89" s="67"/>
      <c r="BH89" s="67"/>
      <c r="BI89" s="67"/>
      <c r="BJ89" s="67"/>
      <c r="BK89" s="67"/>
      <c r="BL89" s="67"/>
      <c r="BS89" s="67"/>
      <c r="BT89" s="67"/>
      <c r="BU89" s="67"/>
      <c r="BV89" s="67"/>
      <c r="BW89" s="67"/>
      <c r="BX89" s="67"/>
      <c r="BY89" s="67"/>
    </row>
    <row r="90" spans="1:77" s="2" customFormat="1" ht="13.8">
      <c r="A90" s="17"/>
      <c r="B90" s="17"/>
      <c r="C90" s="17"/>
      <c r="D90" s="17"/>
      <c r="E90" s="17"/>
      <c r="K90" s="17"/>
      <c r="M90" s="15"/>
      <c r="N90" s="15"/>
      <c r="O90" s="15"/>
      <c r="P90" s="15"/>
      <c r="Q90" s="15"/>
      <c r="R90" s="16"/>
      <c r="S90" s="16"/>
      <c r="Y90" s="67"/>
      <c r="AA90" s="68"/>
      <c r="AB90" s="68">
        <f>AB70</f>
        <v>-250</v>
      </c>
      <c r="AC90" s="68">
        <f>AC70</f>
        <v>390</v>
      </c>
      <c r="AE90" s="68">
        <f>AE82</f>
        <v>0</v>
      </c>
      <c r="AF90" s="68">
        <f>AF82</f>
        <v>-250</v>
      </c>
      <c r="AG90" s="67"/>
      <c r="AH90" s="67"/>
      <c r="AI90" s="67"/>
      <c r="AJ90" s="67"/>
      <c r="AQ90" s="67"/>
      <c r="AR90" s="67"/>
      <c r="AS90" s="67"/>
      <c r="AT90" s="67"/>
      <c r="AU90" s="67"/>
      <c r="AV90" s="67"/>
      <c r="AW90" s="67"/>
      <c r="AX90" s="67"/>
      <c r="AY90" s="67"/>
      <c r="AZ90" s="67"/>
      <c r="BA90" s="67"/>
      <c r="BG90" s="67"/>
      <c r="BH90" s="67"/>
      <c r="BI90" s="67"/>
      <c r="BJ90" s="67"/>
      <c r="BK90" s="67"/>
      <c r="BL90" s="67"/>
      <c r="BS90" s="67"/>
      <c r="BT90" s="67"/>
      <c r="BU90" s="67"/>
      <c r="BV90" s="67"/>
      <c r="BW90" s="67"/>
      <c r="BX90" s="67"/>
      <c r="BY90" s="67"/>
    </row>
    <row r="91" spans="1:77" s="2" customFormat="1" ht="13.8">
      <c r="A91" s="17"/>
      <c r="B91" s="17"/>
      <c r="C91" s="17"/>
      <c r="D91" s="17"/>
      <c r="E91" s="17"/>
      <c r="F91" s="67"/>
      <c r="G91" s="67" t="s">
        <v>127</v>
      </c>
      <c r="H91" s="67"/>
      <c r="I91" s="67"/>
      <c r="J91" s="67"/>
      <c r="K91" s="67"/>
      <c r="M91" s="15"/>
      <c r="N91" s="15"/>
      <c r="O91" s="15"/>
      <c r="P91" s="15"/>
      <c r="Q91" s="15"/>
      <c r="R91" s="16"/>
      <c r="S91" s="16"/>
      <c r="Y91" s="67"/>
      <c r="AA91" s="68"/>
      <c r="AB91" s="68">
        <f>AB72</f>
        <v>135</v>
      </c>
      <c r="AC91" s="68">
        <f>AC72</f>
        <v>42.5</v>
      </c>
      <c r="AE91" s="68">
        <f>AE75</f>
        <v>0</v>
      </c>
      <c r="AF91" s="68">
        <f>AF78</f>
        <v>135</v>
      </c>
      <c r="AG91" s="67"/>
      <c r="AH91" s="67"/>
      <c r="AI91" s="67"/>
      <c r="AJ91" s="67"/>
      <c r="AQ91" s="67"/>
      <c r="AR91" s="67"/>
      <c r="AS91" s="67"/>
      <c r="AT91" s="67"/>
      <c r="AU91" s="67"/>
      <c r="AV91" s="67"/>
      <c r="AW91" s="67"/>
      <c r="AX91" s="67"/>
      <c r="AY91" s="67"/>
      <c r="AZ91" s="67"/>
      <c r="BA91" s="67"/>
      <c r="BG91" s="67"/>
      <c r="BH91" s="67"/>
      <c r="BI91" s="67"/>
      <c r="BJ91" s="67"/>
      <c r="BK91" s="67"/>
      <c r="BL91" s="67"/>
      <c r="BS91" s="67"/>
      <c r="BT91" s="67"/>
      <c r="BU91" s="67"/>
      <c r="BV91" s="67"/>
      <c r="BW91" s="67"/>
      <c r="BX91" s="67"/>
      <c r="BY91" s="67"/>
    </row>
    <row r="92" spans="1:77" s="2" customFormat="1" ht="13.8">
      <c r="A92" s="17"/>
      <c r="B92" s="17"/>
      <c r="C92" s="17"/>
      <c r="D92" s="17"/>
      <c r="E92" s="17"/>
      <c r="F92" s="67"/>
      <c r="G92" s="67"/>
      <c r="H92" s="67"/>
      <c r="I92" s="67"/>
      <c r="J92" s="67"/>
      <c r="K92" s="67"/>
      <c r="M92" s="15"/>
      <c r="N92" s="15"/>
      <c r="O92" s="15"/>
      <c r="P92" s="15"/>
      <c r="Q92" s="15"/>
      <c r="R92" s="16"/>
      <c r="S92" s="16"/>
      <c r="Y92" s="67"/>
      <c r="Z92" s="67"/>
      <c r="AA92" s="68"/>
      <c r="AB92" s="68"/>
      <c r="AC92" s="68"/>
      <c r="AD92" s="67"/>
      <c r="AE92" s="68"/>
      <c r="AF92" s="68"/>
      <c r="AG92" s="67"/>
      <c r="AH92" s="67"/>
      <c r="AI92" s="67"/>
      <c r="AJ92" s="67"/>
      <c r="AK92" s="67"/>
      <c r="AL92" s="67"/>
      <c r="AM92" s="67"/>
      <c r="AN92" s="67"/>
      <c r="AO92" s="67"/>
      <c r="AP92" s="67"/>
      <c r="AQ92" s="67"/>
      <c r="AR92" s="67"/>
      <c r="AS92" s="67"/>
      <c r="AT92" s="67"/>
      <c r="AU92" s="67"/>
      <c r="AV92" s="67"/>
      <c r="AW92" s="67"/>
      <c r="AX92" s="67"/>
      <c r="AY92" s="67"/>
      <c r="AZ92" s="67"/>
      <c r="BA92" s="67"/>
      <c r="BB92" s="67"/>
      <c r="BC92" s="67"/>
      <c r="BD92" s="67"/>
      <c r="BE92" s="67"/>
      <c r="BF92" s="67"/>
      <c r="BG92" s="67"/>
      <c r="BH92" s="67"/>
      <c r="BI92" s="67"/>
      <c r="BJ92" s="67"/>
      <c r="BK92" s="67"/>
      <c r="BL92" s="67"/>
      <c r="BS92" s="67"/>
      <c r="BT92" s="67"/>
      <c r="BU92" s="67"/>
      <c r="BV92" s="67"/>
      <c r="BW92" s="67"/>
      <c r="BX92" s="67"/>
      <c r="BY92" s="67"/>
    </row>
    <row r="93" spans="1:77" s="2" customFormat="1" ht="13.8">
      <c r="A93" s="17"/>
      <c r="B93" s="17"/>
      <c r="C93" s="17"/>
      <c r="D93" s="17"/>
      <c r="E93" s="17"/>
      <c r="K93" s="67"/>
      <c r="M93" s="15"/>
      <c r="N93" s="15"/>
      <c r="O93" s="15"/>
      <c r="P93" s="15"/>
      <c r="Q93" s="15"/>
      <c r="R93" s="16"/>
      <c r="S93" s="16"/>
      <c r="AE93" s="68">
        <f>AE85</f>
        <v>410</v>
      </c>
      <c r="AF93" s="68">
        <f>AF85</f>
        <v>250</v>
      </c>
    </row>
    <row r="94" spans="1:77" s="2" customFormat="1" ht="13.8">
      <c r="A94" s="17"/>
      <c r="B94" s="17"/>
      <c r="C94" s="17"/>
      <c r="D94" s="17"/>
      <c r="E94" s="17"/>
      <c r="F94" s="67"/>
      <c r="G94" s="67" t="s">
        <v>126</v>
      </c>
      <c r="H94" s="67"/>
      <c r="I94" s="67"/>
      <c r="J94" s="67"/>
      <c r="K94" s="17"/>
      <c r="M94" s="15"/>
      <c r="N94" s="15"/>
      <c r="O94" s="15"/>
      <c r="P94" s="15"/>
      <c r="Q94" s="15"/>
      <c r="R94" s="16"/>
      <c r="S94" s="16"/>
      <c r="AE94" s="68">
        <f>AE76</f>
        <v>318</v>
      </c>
      <c r="AF94" s="68">
        <f>AF76</f>
        <v>-135</v>
      </c>
    </row>
    <row r="95" spans="1:77" s="2" customFormat="1" ht="13.8">
      <c r="A95" s="17"/>
      <c r="B95" s="17"/>
      <c r="C95" s="17"/>
      <c r="D95" s="17"/>
      <c r="E95" s="17"/>
      <c r="F95" s="67"/>
      <c r="G95" s="67"/>
      <c r="H95" s="67"/>
      <c r="I95" s="67"/>
      <c r="J95" s="67"/>
      <c r="K95" s="17"/>
      <c r="M95" s="15"/>
      <c r="N95" s="15"/>
      <c r="O95" s="15"/>
      <c r="P95" s="15"/>
      <c r="Q95" s="15"/>
      <c r="R95" s="16"/>
      <c r="S95" s="16"/>
      <c r="AE95" s="68"/>
      <c r="AF95" s="68"/>
    </row>
    <row r="96" spans="1:77" s="2" customFormat="1" ht="13.8">
      <c r="A96" s="17"/>
      <c r="B96" s="17"/>
      <c r="C96" s="17"/>
      <c r="D96" s="17"/>
      <c r="E96" s="17"/>
      <c r="K96" s="67"/>
      <c r="M96" s="15"/>
      <c r="N96" s="15"/>
      <c r="O96" s="15"/>
      <c r="P96" s="15"/>
      <c r="Q96" s="15"/>
      <c r="R96" s="16"/>
      <c r="S96" s="16"/>
      <c r="AE96" s="68">
        <f>AE84</f>
        <v>410</v>
      </c>
      <c r="AF96" s="68">
        <f>AF84</f>
        <v>-250</v>
      </c>
    </row>
    <row r="97" spans="1:32" s="2" customFormat="1" ht="13.8">
      <c r="A97" s="17"/>
      <c r="B97" s="17"/>
      <c r="C97" s="17"/>
      <c r="D97" s="17"/>
      <c r="E97" s="17"/>
      <c r="F97" s="67"/>
      <c r="G97" s="67" t="s">
        <v>125</v>
      </c>
      <c r="H97" s="67"/>
      <c r="I97" s="67"/>
      <c r="J97" s="67"/>
      <c r="K97" s="67"/>
      <c r="M97" s="15"/>
      <c r="N97" s="15"/>
      <c r="O97" s="15"/>
      <c r="P97" s="15"/>
      <c r="Q97" s="15"/>
      <c r="R97" s="16"/>
      <c r="S97" s="16"/>
      <c r="AE97" s="68">
        <f>AE79</f>
        <v>318</v>
      </c>
      <c r="AF97" s="68">
        <f>AF79</f>
        <v>135</v>
      </c>
    </row>
    <row r="98" spans="1:32" s="2" customFormat="1" ht="13.8">
      <c r="A98" s="17"/>
      <c r="B98" s="17"/>
      <c r="C98" s="17"/>
      <c r="D98" s="17"/>
      <c r="E98" s="17"/>
      <c r="F98" s="67"/>
      <c r="G98" s="67"/>
      <c r="H98" s="67"/>
      <c r="I98" s="67"/>
      <c r="J98" s="67"/>
      <c r="K98" s="67"/>
      <c r="M98" s="15"/>
      <c r="N98" s="15"/>
      <c r="O98" s="15"/>
      <c r="P98" s="15"/>
      <c r="Q98" s="15"/>
      <c r="R98" s="16"/>
      <c r="S98" s="16"/>
      <c r="AE98" s="68"/>
      <c r="AF98" s="68"/>
    </row>
    <row r="99" spans="1:32" s="2" customFormat="1" ht="13.8">
      <c r="A99" s="17"/>
      <c r="B99" s="17"/>
      <c r="C99" s="17"/>
      <c r="D99" s="17"/>
      <c r="E99" s="17"/>
      <c r="K99" s="67"/>
      <c r="M99" s="15"/>
      <c r="N99" s="15"/>
      <c r="O99" s="15"/>
      <c r="P99" s="15"/>
      <c r="Q99" s="15"/>
      <c r="R99" s="16"/>
      <c r="S99" s="16"/>
      <c r="AE99" s="68">
        <f>AE81</f>
        <v>0</v>
      </c>
      <c r="AF99" s="68">
        <f>AF81</f>
        <v>250</v>
      </c>
    </row>
    <row r="100" spans="1:32" s="2" customFormat="1" ht="13.8">
      <c r="A100" s="17"/>
      <c r="B100" s="17"/>
      <c r="C100" s="17"/>
      <c r="D100" s="17"/>
      <c r="E100" s="17"/>
      <c r="F100" s="67"/>
      <c r="G100" s="67" t="s">
        <v>124</v>
      </c>
      <c r="H100" s="67"/>
      <c r="I100" s="67"/>
      <c r="J100" s="67"/>
      <c r="K100" s="67"/>
      <c r="M100" s="15"/>
      <c r="N100" s="15"/>
      <c r="O100" s="15"/>
      <c r="P100" s="15"/>
      <c r="Q100" s="15"/>
      <c r="R100" s="16"/>
      <c r="S100" s="16"/>
      <c r="AE100" s="68">
        <f>AE91</f>
        <v>0</v>
      </c>
      <c r="AF100" s="68">
        <f>AF97</f>
        <v>135</v>
      </c>
    </row>
    <row r="101" spans="1:32" s="2" customFormat="1" ht="13.8">
      <c r="A101" s="17"/>
      <c r="B101" s="17"/>
      <c r="C101" s="17"/>
      <c r="D101" s="17"/>
      <c r="E101" s="17"/>
      <c r="F101" s="67"/>
      <c r="G101" s="67"/>
      <c r="H101" s="67"/>
      <c r="I101" s="67"/>
      <c r="J101" s="67"/>
      <c r="K101" s="67"/>
      <c r="M101" s="15"/>
      <c r="N101" s="15"/>
      <c r="O101" s="15"/>
      <c r="P101" s="15"/>
      <c r="Q101" s="15"/>
      <c r="R101" s="16"/>
      <c r="S101" s="16"/>
      <c r="AE101" s="68"/>
      <c r="AF101" s="68"/>
    </row>
    <row r="102" spans="1:32" s="2" customFormat="1" ht="13.8">
      <c r="A102" s="17"/>
      <c r="B102" s="17" t="s">
        <v>175</v>
      </c>
      <c r="C102" s="17"/>
      <c r="D102" s="17"/>
      <c r="E102" s="17"/>
      <c r="K102" s="67"/>
      <c r="M102" s="15"/>
      <c r="N102" s="15"/>
      <c r="O102" s="15"/>
      <c r="P102" s="15"/>
      <c r="Q102" s="15"/>
      <c r="R102" s="16"/>
      <c r="S102" s="16"/>
      <c r="AE102" s="68">
        <f>AE99</f>
        <v>0</v>
      </c>
      <c r="AF102" s="68">
        <f>AF99</f>
        <v>250</v>
      </c>
    </row>
    <row r="103" spans="1:32" s="2" customFormat="1" ht="13.8">
      <c r="A103" s="17"/>
      <c r="B103" s="17"/>
      <c r="C103" s="133">
        <f>'3D Bolt Calc'!E6-'3D Bolt Calc'!E4</f>
        <v>12.51968503937008</v>
      </c>
      <c r="D103" s="17" t="s">
        <v>11</v>
      </c>
      <c r="E103" s="17"/>
      <c r="F103" s="67"/>
      <c r="G103" s="67" t="s">
        <v>128</v>
      </c>
      <c r="H103" s="67"/>
      <c r="I103" s="67"/>
      <c r="J103" s="67"/>
      <c r="K103" s="67"/>
      <c r="M103" s="15"/>
      <c r="N103" s="15"/>
      <c r="O103" s="15"/>
      <c r="P103" s="15"/>
      <c r="Q103" s="15"/>
      <c r="R103" s="16"/>
      <c r="S103" s="16"/>
      <c r="AE103" s="68">
        <f>AE97</f>
        <v>318</v>
      </c>
      <c r="AF103" s="68">
        <f>AF97</f>
        <v>135</v>
      </c>
    </row>
    <row r="104" spans="1:32" s="2" customFormat="1" ht="13.8">
      <c r="A104" s="17"/>
      <c r="B104" s="17"/>
      <c r="C104" s="17"/>
      <c r="D104" s="17"/>
      <c r="E104" s="17"/>
      <c r="F104" s="17"/>
      <c r="G104" s="67"/>
      <c r="H104" s="67"/>
      <c r="I104" s="67"/>
      <c r="J104" s="67"/>
      <c r="K104" s="17"/>
      <c r="M104" s="15"/>
      <c r="N104" s="15"/>
      <c r="O104" s="15"/>
      <c r="P104" s="15"/>
      <c r="Q104" s="15"/>
      <c r="R104" s="16"/>
      <c r="S104" s="16"/>
      <c r="AE104" s="68"/>
      <c r="AF104" s="68"/>
    </row>
    <row r="105" spans="1:32" s="2" customFormat="1" ht="13.8">
      <c r="A105" s="17"/>
      <c r="B105" s="17" t="s">
        <v>176</v>
      </c>
      <c r="C105" s="17"/>
      <c r="D105" s="17"/>
      <c r="E105" s="17"/>
      <c r="F105" s="17"/>
      <c r="G105" s="17"/>
      <c r="H105" s="17"/>
      <c r="I105" s="17"/>
      <c r="J105" s="17"/>
      <c r="K105" s="17"/>
      <c r="M105" s="15"/>
      <c r="N105" s="15"/>
      <c r="O105" s="15"/>
      <c r="P105" s="15"/>
      <c r="Q105" s="15"/>
      <c r="R105" s="16"/>
      <c r="S105" s="16"/>
      <c r="AE105" s="68">
        <f>AE90</f>
        <v>0</v>
      </c>
      <c r="AF105" s="68">
        <f>AF90</f>
        <v>-250</v>
      </c>
    </row>
    <row r="106" spans="1:32" s="2" customFormat="1" ht="13.8">
      <c r="A106" s="17"/>
      <c r="B106" s="17"/>
      <c r="C106" s="133">
        <f>'3D Bolt Calc'!F4-'3D Bolt Calc'!F5</f>
        <v>10.62992125984252</v>
      </c>
      <c r="D106" s="17" t="s">
        <v>11</v>
      </c>
      <c r="E106" s="17"/>
      <c r="F106" s="17"/>
      <c r="G106" s="17"/>
      <c r="H106" s="17"/>
      <c r="I106" s="17"/>
      <c r="J106" s="17"/>
      <c r="K106" s="17"/>
      <c r="M106" s="15"/>
      <c r="N106" s="15"/>
      <c r="O106" s="15"/>
      <c r="P106" s="15"/>
      <c r="Q106" s="15"/>
      <c r="R106" s="16"/>
      <c r="S106" s="16"/>
      <c r="AE106" s="68">
        <f>AE88</f>
        <v>0</v>
      </c>
      <c r="AF106" s="68">
        <f>AF88</f>
        <v>-135</v>
      </c>
    </row>
    <row r="107" spans="1:32" s="2" customFormat="1" ht="13.8">
      <c r="A107" s="17"/>
      <c r="B107" s="17"/>
      <c r="C107" s="17"/>
      <c r="D107" s="17"/>
      <c r="E107" s="17"/>
      <c r="F107" s="17"/>
      <c r="G107" s="17"/>
      <c r="H107" s="17"/>
      <c r="I107" s="17"/>
      <c r="J107" s="17"/>
      <c r="K107" s="17"/>
      <c r="M107" s="15"/>
      <c r="N107" s="15"/>
      <c r="O107" s="15"/>
      <c r="P107" s="15"/>
      <c r="Q107" s="15"/>
      <c r="R107" s="16"/>
      <c r="S107" s="16"/>
      <c r="AE107" s="68"/>
      <c r="AF107" s="68"/>
    </row>
    <row r="108" spans="1:32" s="2" customFormat="1" ht="13.8">
      <c r="A108" s="17"/>
      <c r="B108" s="17"/>
      <c r="C108" s="17"/>
      <c r="D108" s="17"/>
      <c r="E108" s="17"/>
      <c r="F108" s="17"/>
      <c r="G108" s="17"/>
      <c r="H108" s="17"/>
      <c r="I108" s="17"/>
      <c r="J108" s="17"/>
      <c r="K108" s="17"/>
      <c r="M108" s="15"/>
      <c r="N108" s="15"/>
      <c r="O108" s="15"/>
      <c r="P108" s="15"/>
      <c r="Q108" s="15"/>
      <c r="R108" s="16"/>
      <c r="S108" s="16"/>
      <c r="AE108" s="68">
        <f>AE105</f>
        <v>0</v>
      </c>
      <c r="AF108" s="68">
        <f>AF105</f>
        <v>-250</v>
      </c>
    </row>
    <row r="109" spans="1:32" s="2" customFormat="1" ht="13.8">
      <c r="A109" s="17"/>
      <c r="B109" s="17"/>
      <c r="C109" s="17"/>
      <c r="D109" s="17"/>
      <c r="E109" s="17"/>
      <c r="F109" s="17"/>
      <c r="G109" s="17"/>
      <c r="H109" s="17"/>
      <c r="I109" s="17"/>
      <c r="J109" s="17"/>
      <c r="K109" s="17"/>
      <c r="M109" s="15"/>
      <c r="N109" s="15"/>
      <c r="O109" s="15"/>
      <c r="P109" s="15"/>
      <c r="Q109" s="15"/>
      <c r="R109" s="16"/>
      <c r="S109" s="16"/>
      <c r="AE109" s="68">
        <f>AE94</f>
        <v>318</v>
      </c>
      <c r="AF109" s="68">
        <f>AF94</f>
        <v>-135</v>
      </c>
    </row>
    <row r="110" spans="1:32" s="2" customFormat="1" ht="13.8">
      <c r="A110" s="17"/>
      <c r="B110" s="17"/>
      <c r="C110" s="17"/>
      <c r="D110" s="17"/>
      <c r="E110" s="17"/>
      <c r="F110" s="17"/>
      <c r="G110" s="17"/>
      <c r="H110" s="17"/>
      <c r="I110" s="17"/>
      <c r="J110" s="17"/>
      <c r="K110" s="17"/>
      <c r="M110" s="15"/>
      <c r="N110" s="15"/>
      <c r="O110" s="15"/>
      <c r="P110" s="15"/>
      <c r="Q110" s="15"/>
      <c r="R110" s="16"/>
      <c r="S110" s="16"/>
      <c r="AE110" s="68"/>
      <c r="AF110" s="68"/>
    </row>
    <row r="111" spans="1:32" s="2" customFormat="1" ht="13.8">
      <c r="A111" s="191"/>
      <c r="B111" s="192"/>
      <c r="C111" s="193"/>
      <c r="D111" s="191"/>
      <c r="E111" s="191"/>
      <c r="F111" s="191"/>
      <c r="G111" s="193"/>
      <c r="H111" s="191"/>
      <c r="I111" s="191"/>
      <c r="J111" s="191"/>
      <c r="K111" s="191"/>
      <c r="M111" s="15"/>
      <c r="N111" s="15"/>
      <c r="O111" s="15"/>
      <c r="P111" s="15"/>
      <c r="Q111" s="15"/>
      <c r="R111" s="16"/>
      <c r="S111" s="16"/>
      <c r="AE111" s="68">
        <f>AE85</f>
        <v>410</v>
      </c>
      <c r="AF111" s="68">
        <f>AF85</f>
        <v>250</v>
      </c>
    </row>
    <row r="112" spans="1:32" s="2" customFormat="1" ht="13.8">
      <c r="A112" s="191"/>
      <c r="B112" s="194"/>
      <c r="C112" s="193"/>
      <c r="D112" s="195"/>
      <c r="E112" s="195"/>
      <c r="F112" s="196" t="s">
        <v>192</v>
      </c>
      <c r="G112" s="193"/>
      <c r="H112" s="195"/>
      <c r="I112" s="195"/>
      <c r="J112" s="195"/>
      <c r="K112" s="191"/>
      <c r="M112" s="15"/>
      <c r="N112" s="15"/>
      <c r="O112" s="15"/>
      <c r="P112" s="15"/>
      <c r="Q112" s="15"/>
      <c r="R112" s="16"/>
      <c r="S112" s="16"/>
      <c r="AE112" s="68">
        <f>AE97</f>
        <v>318</v>
      </c>
      <c r="AF112" s="68">
        <f>AF97</f>
        <v>135</v>
      </c>
    </row>
    <row r="113" spans="1:32" s="2" customFormat="1" ht="13.8">
      <c r="A113" s="191"/>
      <c r="B113" s="195"/>
      <c r="C113" s="195"/>
      <c r="D113" s="195"/>
      <c r="E113" s="195"/>
      <c r="F113" s="197" t="s">
        <v>193</v>
      </c>
      <c r="G113" s="195"/>
      <c r="H113" s="195"/>
      <c r="I113" s="195"/>
      <c r="J113" s="195"/>
      <c r="K113" s="191"/>
      <c r="M113" s="15"/>
      <c r="N113" s="15"/>
      <c r="O113" s="15"/>
      <c r="P113" s="15"/>
      <c r="Q113" s="15"/>
      <c r="R113" s="16"/>
      <c r="S113" s="16"/>
      <c r="AE113" s="68"/>
      <c r="AF113" s="68"/>
    </row>
    <row r="114" spans="1:32" s="2" customFormat="1" ht="13.8">
      <c r="A114" s="184"/>
      <c r="E114" s="3" t="s">
        <v>1</v>
      </c>
      <c r="F114" s="5" t="str">
        <f>$C$1</f>
        <v>R. Abbott</v>
      </c>
      <c r="H114" s="4"/>
      <c r="I114" s="3" t="s">
        <v>8</v>
      </c>
      <c r="J114" s="9" t="str">
        <f>$G$2</f>
        <v>AA-SM-507</v>
      </c>
      <c r="K114" s="10"/>
      <c r="L114" s="1"/>
      <c r="M114" s="7"/>
      <c r="N114" s="7"/>
      <c r="O114" s="7"/>
      <c r="P114" s="7"/>
      <c r="Q114" s="15"/>
      <c r="R114" s="16"/>
      <c r="S114" s="16"/>
      <c r="AE114" s="68">
        <f>AE111</f>
        <v>410</v>
      </c>
      <c r="AF114" s="68">
        <f>AF111</f>
        <v>250</v>
      </c>
    </row>
    <row r="115" spans="1:32" s="2" customFormat="1" ht="13.8">
      <c r="E115" s="3" t="s">
        <v>2</v>
      </c>
      <c r="F115" s="4" t="str">
        <f>$C$2</f>
        <v xml:space="preserve"> </v>
      </c>
      <c r="H115" s="4"/>
      <c r="I115" s="3" t="s">
        <v>9</v>
      </c>
      <c r="J115" s="10" t="str">
        <f>$G$3</f>
        <v>IR</v>
      </c>
      <c r="K115" s="10"/>
      <c r="L115" s="1"/>
      <c r="M115" s="7">
        <v>1</v>
      </c>
      <c r="N115" s="7"/>
      <c r="O115" s="7"/>
      <c r="P115" s="7"/>
      <c r="Q115" s="15"/>
      <c r="R115" s="16"/>
      <c r="S115" s="16"/>
      <c r="AE115" s="68">
        <f>AE100</f>
        <v>0</v>
      </c>
      <c r="AF115" s="68">
        <f>AF100</f>
        <v>135</v>
      </c>
    </row>
    <row r="116" spans="1:32" s="2" customFormat="1" ht="13.8">
      <c r="E116" s="3" t="s">
        <v>3</v>
      </c>
      <c r="F116" s="4" t="str">
        <f>$C$3</f>
        <v>25/04/2009</v>
      </c>
      <c r="H116" s="4"/>
      <c r="I116" s="3" t="s">
        <v>6</v>
      </c>
      <c r="J116" s="5" t="str">
        <f>L116&amp;" of "&amp;$G$1</f>
        <v>3 of 3</v>
      </c>
      <c r="K116" s="4"/>
      <c r="L116" s="1">
        <f>SUM($M$1:M115)</f>
        <v>3</v>
      </c>
      <c r="M116" s="7"/>
      <c r="N116" s="7"/>
      <c r="O116" s="7"/>
      <c r="P116" s="7"/>
      <c r="Q116" s="15"/>
      <c r="R116" s="16"/>
      <c r="S116" s="16"/>
      <c r="AE116" s="68"/>
      <c r="AF116" s="68"/>
    </row>
    <row r="117" spans="1:32" s="2" customFormat="1" ht="13.8">
      <c r="E117" s="3" t="s">
        <v>24</v>
      </c>
      <c r="F117" s="4" t="str">
        <f>$C$5</f>
        <v>STANDARD SPREADSHEET METHOD</v>
      </c>
      <c r="I117" s="11"/>
      <c r="J117" s="5"/>
      <c r="M117" s="7"/>
      <c r="N117" s="7"/>
      <c r="O117" s="7"/>
      <c r="P117" s="7"/>
      <c r="Q117" s="7"/>
      <c r="R117" s="7"/>
      <c r="S117" s="7"/>
      <c r="AE117" s="68">
        <f>AE84</f>
        <v>410</v>
      </c>
      <c r="AF117" s="68">
        <f>AF84</f>
        <v>-250</v>
      </c>
    </row>
    <row r="118" spans="1:32">
      <c r="B118" s="13" t="str">
        <f>($C$4)&amp;" "&amp;$G$4</f>
        <v xml:space="preserve"> SEAT INTERFACE LOAD CALCULATION</v>
      </c>
      <c r="M118" s="7"/>
      <c r="N118" s="7"/>
      <c r="O118" s="7"/>
      <c r="P118" s="7"/>
      <c r="Q118" s="14"/>
      <c r="R118" s="14"/>
      <c r="S118" s="14"/>
      <c r="AE118" s="68">
        <f>AE88</f>
        <v>0</v>
      </c>
      <c r="AF118" s="68">
        <f>AF88</f>
        <v>-135</v>
      </c>
    </row>
    <row r="119" spans="1:32">
      <c r="A119" s="19"/>
      <c r="B119" s="19"/>
      <c r="C119" s="19"/>
      <c r="D119" s="19"/>
      <c r="E119" s="19"/>
      <c r="F119" s="19"/>
      <c r="G119" s="19"/>
      <c r="H119" s="19"/>
      <c r="I119" s="19"/>
      <c r="J119" s="19"/>
      <c r="K119" s="19"/>
      <c r="AE119" s="68"/>
      <c r="AF119" s="68"/>
    </row>
    <row r="120" spans="1:32" s="2" customFormat="1" ht="13.8">
      <c r="A120" s="19"/>
      <c r="B120" s="19"/>
      <c r="C120" s="19"/>
      <c r="D120" s="19"/>
      <c r="E120" s="19"/>
      <c r="F120" s="19"/>
      <c r="G120" s="19"/>
      <c r="H120" s="19"/>
      <c r="I120" s="19"/>
      <c r="J120" s="19"/>
      <c r="K120" s="19"/>
      <c r="M120" s="15"/>
      <c r="N120" s="15"/>
      <c r="O120" s="15"/>
      <c r="P120" s="15"/>
      <c r="Q120" s="15"/>
      <c r="R120" s="16"/>
      <c r="S120" s="16"/>
      <c r="AE120" s="68">
        <f>AE117</f>
        <v>410</v>
      </c>
      <c r="AF120" s="68">
        <f>AF117</f>
        <v>-250</v>
      </c>
    </row>
    <row r="121" spans="1:32" s="2" customFormat="1" ht="13.8">
      <c r="A121" s="19"/>
      <c r="B121" s="19"/>
      <c r="C121" s="19"/>
      <c r="D121" s="19"/>
      <c r="E121" s="19"/>
      <c r="F121" s="19"/>
      <c r="G121" s="19"/>
      <c r="H121" s="19"/>
      <c r="I121" s="19"/>
      <c r="J121" s="19"/>
      <c r="K121" s="19"/>
      <c r="M121" s="7"/>
      <c r="N121" s="7"/>
      <c r="O121" s="7"/>
      <c r="P121" s="7"/>
      <c r="Q121" s="15"/>
      <c r="R121" s="16"/>
      <c r="S121" s="16"/>
      <c r="AE121" s="68">
        <f>AE94</f>
        <v>318</v>
      </c>
      <c r="AF121" s="68">
        <f>AF94</f>
        <v>-135</v>
      </c>
    </row>
    <row r="122" spans="1:32" s="2" customFormat="1" ht="13.8">
      <c r="A122" s="19"/>
      <c r="B122" s="138" t="s">
        <v>152</v>
      </c>
      <c r="C122" s="67"/>
      <c r="D122" s="67"/>
      <c r="E122" s="67"/>
      <c r="F122" s="67"/>
      <c r="G122" s="67"/>
      <c r="H122" s="67"/>
      <c r="I122" s="67"/>
      <c r="J122" s="67"/>
      <c r="K122" s="19"/>
      <c r="M122" s="7"/>
      <c r="N122" s="7"/>
      <c r="O122" s="7"/>
      <c r="P122" s="7"/>
      <c r="Q122" s="15"/>
      <c r="R122" s="16"/>
      <c r="S122" s="16"/>
    </row>
    <row r="123" spans="1:32" s="2" customFormat="1" ht="13.8">
      <c r="A123" s="19"/>
      <c r="B123" s="67"/>
      <c r="C123" s="67"/>
      <c r="D123" s="67"/>
      <c r="E123" s="67"/>
      <c r="F123" s="67"/>
      <c r="G123" s="67"/>
      <c r="H123" s="67"/>
      <c r="I123" s="67"/>
      <c r="J123" s="67"/>
      <c r="K123" s="19"/>
      <c r="M123" s="7"/>
      <c r="N123" s="7"/>
      <c r="O123" s="7"/>
      <c r="P123" s="7"/>
      <c r="Q123" s="15"/>
      <c r="R123" s="16"/>
      <c r="S123" s="16"/>
    </row>
    <row r="124" spans="1:32" s="2" customFormat="1" ht="13.8">
      <c r="A124" s="19"/>
      <c r="B124" s="136" t="s">
        <v>13</v>
      </c>
      <c r="C124" s="136" t="s">
        <v>148</v>
      </c>
      <c r="D124" s="158"/>
      <c r="E124" s="132" t="s">
        <v>147</v>
      </c>
      <c r="F124" s="112">
        <v>1</v>
      </c>
      <c r="G124" s="113"/>
      <c r="H124" s="111" t="s">
        <v>147</v>
      </c>
      <c r="I124" s="112">
        <v>2</v>
      </c>
      <c r="J124" s="113"/>
      <c r="K124" s="19"/>
      <c r="M124" s="7"/>
      <c r="N124" s="7"/>
      <c r="O124" s="7"/>
      <c r="P124" s="7"/>
      <c r="Q124" s="15"/>
      <c r="R124" s="16"/>
      <c r="S124" s="16"/>
    </row>
    <row r="125" spans="1:32" s="2" customFormat="1" ht="13.8">
      <c r="A125" s="19"/>
      <c r="B125" s="174" t="s">
        <v>142</v>
      </c>
      <c r="C125" s="174"/>
      <c r="D125" s="176"/>
      <c r="E125" s="115" t="s">
        <v>109</v>
      </c>
      <c r="F125" s="115" t="s">
        <v>108</v>
      </c>
      <c r="G125" s="116" t="s">
        <v>107</v>
      </c>
      <c r="H125" s="117" t="s">
        <v>109</v>
      </c>
      <c r="I125" s="118" t="s">
        <v>108</v>
      </c>
      <c r="J125" s="116" t="s">
        <v>107</v>
      </c>
      <c r="K125" s="19"/>
      <c r="M125" s="15"/>
      <c r="N125" s="15"/>
      <c r="O125" s="15"/>
      <c r="P125" s="15"/>
      <c r="Q125" s="15"/>
      <c r="R125" s="16"/>
      <c r="S125" s="16"/>
    </row>
    <row r="126" spans="1:32" s="2" customFormat="1" ht="13.8">
      <c r="A126" s="19"/>
      <c r="B126" s="175"/>
      <c r="C126" s="175"/>
      <c r="D126" s="177"/>
      <c r="E126" s="120" t="s">
        <v>183</v>
      </c>
      <c r="F126" s="120" t="s">
        <v>183</v>
      </c>
      <c r="G126" s="121" t="s">
        <v>183</v>
      </c>
      <c r="H126" s="119" t="s">
        <v>183</v>
      </c>
      <c r="I126" s="120" t="s">
        <v>183</v>
      </c>
      <c r="J126" s="121" t="s">
        <v>183</v>
      </c>
      <c r="K126" s="19"/>
      <c r="M126" s="15"/>
      <c r="N126" s="15"/>
      <c r="O126" s="15"/>
      <c r="P126" s="15"/>
      <c r="Q126" s="15"/>
      <c r="R126" s="16"/>
      <c r="S126" s="16"/>
    </row>
    <row r="127" spans="1:32" s="2" customFormat="1" ht="13.8">
      <c r="A127" s="19"/>
      <c r="B127" s="174">
        <f t="shared" ref="B127:C136" si="1">B32</f>
        <v>1</v>
      </c>
      <c r="C127" s="136" t="str">
        <f t="shared" si="1"/>
        <v>23.561(b)(2)(i)</v>
      </c>
      <c r="D127" s="158"/>
      <c r="E127" s="123">
        <f>'3D Bolt Calc'!E38</f>
        <v>0</v>
      </c>
      <c r="F127" s="123">
        <f>'3D Bolt Calc'!F38</f>
        <v>0</v>
      </c>
      <c r="G127" s="124">
        <f>'3D Bolt Calc'!G38</f>
        <v>23.601226415094345</v>
      </c>
      <c r="H127" s="122">
        <f>'3D Bolt Calc'!E39</f>
        <v>0</v>
      </c>
      <c r="I127" s="123">
        <f>'3D Bolt Calc'!F39</f>
        <v>0</v>
      </c>
      <c r="J127" s="124">
        <f>'3D Bolt Calc'!G39</f>
        <v>23.601226415094345</v>
      </c>
      <c r="K127" s="19"/>
      <c r="M127" s="15"/>
      <c r="N127" s="15"/>
      <c r="O127" s="15"/>
      <c r="P127" s="15"/>
      <c r="Q127" s="15"/>
      <c r="R127" s="16"/>
      <c r="S127" s="16"/>
    </row>
    <row r="128" spans="1:32" s="2" customFormat="1" ht="13.8">
      <c r="A128" s="19"/>
      <c r="B128" s="174">
        <f t="shared" si="1"/>
        <v>2</v>
      </c>
      <c r="C128" s="174" t="str">
        <f t="shared" si="1"/>
        <v>23.561(b)(2)(ii)</v>
      </c>
      <c r="D128" s="176"/>
      <c r="E128" s="123">
        <f>'3D Bolt Calc'!E71</f>
        <v>-852.86250000000007</v>
      </c>
      <c r="F128" s="123">
        <f>'3D Bolt Calc'!F71</f>
        <v>0</v>
      </c>
      <c r="G128" s="124">
        <f>'3D Bolt Calc'!G71</f>
        <v>-4087.3033018867936</v>
      </c>
      <c r="H128" s="122">
        <f>'3D Bolt Calc'!E72</f>
        <v>-852.86250000000007</v>
      </c>
      <c r="I128" s="123">
        <f>'3D Bolt Calc'!F72</f>
        <v>0</v>
      </c>
      <c r="J128" s="124">
        <f>'3D Bolt Calc'!G72</f>
        <v>-4087.3033018867936</v>
      </c>
      <c r="K128" s="19"/>
      <c r="M128" s="15"/>
      <c r="N128" s="15"/>
      <c r="O128" s="15"/>
      <c r="P128" s="15"/>
      <c r="Q128" s="15"/>
      <c r="R128" s="16"/>
      <c r="S128" s="16"/>
    </row>
    <row r="129" spans="1:19" s="2" customFormat="1" ht="13.8">
      <c r="A129" s="19"/>
      <c r="B129" s="174">
        <f t="shared" si="1"/>
        <v>3</v>
      </c>
      <c r="C129" s="174" t="str">
        <f t="shared" si="1"/>
        <v>25.561(b)(2)(iii)</v>
      </c>
      <c r="D129" s="176"/>
      <c r="E129" s="123">
        <f>'3D Bolt Calc'!E104</f>
        <v>-64.308725951592891</v>
      </c>
      <c r="F129" s="123">
        <f>'3D Bolt Calc'!F104</f>
        <v>66.402361657012818</v>
      </c>
      <c r="G129" s="124">
        <f>'3D Bolt Calc'!G104</f>
        <v>-802.32249999999976</v>
      </c>
      <c r="H129" s="122">
        <f>'3D Bolt Calc'!E105</f>
        <v>64.308725951592891</v>
      </c>
      <c r="I129" s="123">
        <f>'3D Bolt Calc'!F105</f>
        <v>66.402361657012818</v>
      </c>
      <c r="J129" s="124">
        <f>'3D Bolt Calc'!G105</f>
        <v>802.32249999999976</v>
      </c>
      <c r="K129" s="19"/>
      <c r="M129" s="15"/>
      <c r="N129" s="15"/>
      <c r="O129" s="15"/>
      <c r="P129" s="15"/>
      <c r="Q129" s="15"/>
      <c r="R129" s="16"/>
      <c r="S129" s="16"/>
    </row>
    <row r="130" spans="1:19" s="2" customFormat="1" ht="13.8">
      <c r="A130" s="19"/>
      <c r="B130" s="174">
        <f t="shared" si="1"/>
        <v>4</v>
      </c>
      <c r="C130" s="174" t="str">
        <f t="shared" si="1"/>
        <v>23.561(b)(2)(iii)</v>
      </c>
      <c r="D130" s="176"/>
      <c r="E130" s="123">
        <f>'3D Bolt Calc'!E137</f>
        <v>64.308725951592891</v>
      </c>
      <c r="F130" s="123">
        <f>'3D Bolt Calc'!F137</f>
        <v>-66.402361657012818</v>
      </c>
      <c r="G130" s="124">
        <f>'3D Bolt Calc'!G137</f>
        <v>802.32249999999976</v>
      </c>
      <c r="H130" s="122">
        <f>'3D Bolt Calc'!E138</f>
        <v>-64.308725951592891</v>
      </c>
      <c r="I130" s="123">
        <f>'3D Bolt Calc'!F138</f>
        <v>-66.402361657012818</v>
      </c>
      <c r="J130" s="124">
        <f>'3D Bolt Calc'!G138</f>
        <v>-802.32249999999976</v>
      </c>
      <c r="K130" s="19"/>
      <c r="M130" s="15"/>
      <c r="N130" s="15"/>
      <c r="O130" s="15"/>
      <c r="P130" s="15"/>
      <c r="Q130" s="15"/>
      <c r="R130" s="16"/>
      <c r="S130" s="16"/>
    </row>
    <row r="131" spans="1:19" s="2" customFormat="1" ht="13.8">
      <c r="A131" s="19"/>
      <c r="B131" s="174">
        <f t="shared" si="1"/>
        <v>5</v>
      </c>
      <c r="C131" s="174" t="str">
        <f t="shared" si="1"/>
        <v>23.561(b)(2)(iv)</v>
      </c>
      <c r="D131" s="176"/>
      <c r="E131" s="123">
        <f>'3D Bolt Calc'!E170</f>
        <v>0</v>
      </c>
      <c r="F131" s="123">
        <f>'3D Bolt Calc'!F170</f>
        <v>0</v>
      </c>
      <c r="G131" s="124">
        <f>'3D Bolt Calc'!G170</f>
        <v>-47.20245283018869</v>
      </c>
      <c r="H131" s="122">
        <f>'3D Bolt Calc'!E171</f>
        <v>0</v>
      </c>
      <c r="I131" s="123">
        <f>'3D Bolt Calc'!F171</f>
        <v>0</v>
      </c>
      <c r="J131" s="124">
        <f>'3D Bolt Calc'!G171</f>
        <v>-47.20245283018869</v>
      </c>
      <c r="K131" s="19"/>
      <c r="M131" s="15"/>
      <c r="N131" s="15"/>
      <c r="O131" s="15"/>
      <c r="P131" s="15"/>
      <c r="Q131" s="15"/>
      <c r="R131" s="16"/>
      <c r="S131" s="16"/>
    </row>
    <row r="132" spans="1:19" s="2" customFormat="1" ht="13.8">
      <c r="A132" s="19"/>
      <c r="B132" s="174">
        <f t="shared" si="1"/>
        <v>6</v>
      </c>
      <c r="C132" s="174" t="str">
        <f t="shared" si="1"/>
        <v>(Not Used)</v>
      </c>
      <c r="D132" s="176"/>
      <c r="E132" s="123">
        <f>'3D Bolt Calc'!E203</f>
        <v>0</v>
      </c>
      <c r="F132" s="123">
        <f>'3D Bolt Calc'!F203</f>
        <v>0</v>
      </c>
      <c r="G132" s="124">
        <f>'3D Bolt Calc'!G203</f>
        <v>0</v>
      </c>
      <c r="H132" s="122">
        <f>'3D Bolt Calc'!E204</f>
        <v>0</v>
      </c>
      <c r="I132" s="123">
        <f>'3D Bolt Calc'!F204</f>
        <v>0</v>
      </c>
      <c r="J132" s="124">
        <f>'3D Bolt Calc'!G204</f>
        <v>0</v>
      </c>
      <c r="K132" s="19"/>
      <c r="M132" s="15"/>
      <c r="N132" s="15"/>
      <c r="O132" s="15"/>
      <c r="P132" s="15"/>
      <c r="Q132" s="15"/>
      <c r="R132" s="16"/>
      <c r="S132" s="16"/>
    </row>
    <row r="133" spans="1:19" s="2" customFormat="1" ht="13.8">
      <c r="A133" s="19"/>
      <c r="B133" s="174">
        <f t="shared" si="1"/>
        <v>7</v>
      </c>
      <c r="C133" s="174" t="str">
        <f t="shared" si="1"/>
        <v>23.562(b)(1)</v>
      </c>
      <c r="D133" s="176"/>
      <c r="E133" s="123">
        <f>'3D Bolt Calc'!E236</f>
        <v>-676.875</v>
      </c>
      <c r="F133" s="123">
        <f>'3D Bolt Calc'!F236</f>
        <v>0</v>
      </c>
      <c r="G133" s="124">
        <f>'3D Bolt Calc'!G236</f>
        <v>-3341.1948113207545</v>
      </c>
      <c r="H133" s="122">
        <f>'3D Bolt Calc'!E237</f>
        <v>-676.875</v>
      </c>
      <c r="I133" s="123">
        <f>'3D Bolt Calc'!F237</f>
        <v>0</v>
      </c>
      <c r="J133" s="124">
        <f>'3D Bolt Calc'!G237</f>
        <v>-3341.1948113207545</v>
      </c>
      <c r="K133" s="19"/>
      <c r="M133" s="15"/>
      <c r="N133" s="15"/>
      <c r="O133" s="15"/>
      <c r="P133" s="15"/>
      <c r="Q133" s="15"/>
      <c r="R133" s="16"/>
      <c r="S133" s="16"/>
    </row>
    <row r="134" spans="1:19" s="2" customFormat="1" ht="13.8">
      <c r="A134" s="19"/>
      <c r="B134" s="174">
        <f t="shared" si="1"/>
        <v>8</v>
      </c>
      <c r="C134" s="174" t="str">
        <f t="shared" si="1"/>
        <v>23.562(b)(2)</v>
      </c>
      <c r="D134" s="176"/>
      <c r="E134" s="123">
        <f>'3D Bolt Calc'!E269</f>
        <v>-1969.0572765825402</v>
      </c>
      <c r="F134" s="123">
        <f>'3D Bolt Calc'!F269</f>
        <v>149.77976313611919</v>
      </c>
      <c r="G134" s="124">
        <f>'3D Bolt Calc'!G269</f>
        <v>-10551.183962264151</v>
      </c>
      <c r="H134" s="122">
        <f>'3D Bolt Calc'!E270</f>
        <v>-1678.9427234174598</v>
      </c>
      <c r="I134" s="123">
        <f>'3D Bolt Calc'!F270</f>
        <v>149.77976313611919</v>
      </c>
      <c r="J134" s="124">
        <f>'3D Bolt Calc'!G270</f>
        <v>-6931.683962264151</v>
      </c>
      <c r="K134" s="19"/>
      <c r="M134" s="15"/>
      <c r="N134" s="15"/>
      <c r="O134" s="15"/>
      <c r="P134" s="15"/>
      <c r="Q134" s="15"/>
      <c r="R134" s="16"/>
      <c r="S134" s="16"/>
    </row>
    <row r="135" spans="1:19" s="2" customFormat="1" ht="13.8">
      <c r="A135" s="19"/>
      <c r="B135" s="174">
        <f t="shared" si="1"/>
        <v>9</v>
      </c>
      <c r="C135" s="174" t="str">
        <f t="shared" si="1"/>
        <v>Max vert Gust</v>
      </c>
      <c r="D135" s="176"/>
      <c r="E135" s="123">
        <f>'3D Bolt Calc'!E302</f>
        <v>0</v>
      </c>
      <c r="F135" s="123">
        <f>'3D Bolt Calc'!F302</f>
        <v>0</v>
      </c>
      <c r="G135" s="124">
        <f>'3D Bolt Calc'!G302</f>
        <v>-49.686792452830332</v>
      </c>
      <c r="H135" s="122">
        <f>'3D Bolt Calc'!E303</f>
        <v>0</v>
      </c>
      <c r="I135" s="123">
        <f>'3D Bolt Calc'!F303</f>
        <v>0</v>
      </c>
      <c r="J135" s="124">
        <f>'3D Bolt Calc'!G303</f>
        <v>-49.686792452830332</v>
      </c>
      <c r="K135" s="19"/>
      <c r="M135" s="15"/>
      <c r="N135" s="15"/>
      <c r="O135" s="15"/>
      <c r="P135" s="15"/>
      <c r="Q135" s="15"/>
      <c r="R135" s="16"/>
      <c r="S135" s="16"/>
    </row>
    <row r="136" spans="1:19" s="2" customFormat="1" ht="13.8">
      <c r="A136" s="19"/>
      <c r="B136" s="174">
        <f t="shared" si="1"/>
        <v>10</v>
      </c>
      <c r="C136" s="174" t="str">
        <f t="shared" si="1"/>
        <v>Abuse</v>
      </c>
      <c r="D136" s="176"/>
      <c r="E136" s="125"/>
      <c r="F136" s="125"/>
      <c r="G136" s="126"/>
      <c r="H136" s="122"/>
      <c r="I136" s="123"/>
      <c r="J136" s="124"/>
      <c r="K136" s="19"/>
      <c r="M136" s="15"/>
      <c r="N136" s="15"/>
      <c r="O136" s="15"/>
      <c r="P136" s="15"/>
      <c r="Q136" s="15"/>
      <c r="R136" s="16"/>
      <c r="S136" s="16"/>
    </row>
    <row r="137" spans="1:19" s="2" customFormat="1" ht="13.8">
      <c r="A137" s="19"/>
      <c r="B137" s="175"/>
      <c r="C137" s="175"/>
      <c r="D137" s="177"/>
      <c r="E137" s="128"/>
      <c r="F137" s="128"/>
      <c r="G137" s="129"/>
      <c r="H137" s="127"/>
      <c r="I137" s="128"/>
      <c r="J137" s="129"/>
      <c r="K137" s="19"/>
      <c r="M137" s="15"/>
      <c r="N137" s="15"/>
      <c r="O137" s="15"/>
      <c r="P137" s="15"/>
      <c r="Q137" s="15"/>
      <c r="R137" s="16"/>
      <c r="S137" s="16"/>
    </row>
    <row r="138" spans="1:19" s="2" customFormat="1" ht="13.8">
      <c r="A138" s="19"/>
      <c r="B138" s="67"/>
      <c r="C138" s="67"/>
      <c r="D138" s="67"/>
      <c r="E138" s="67"/>
      <c r="F138" s="67"/>
      <c r="G138" s="67"/>
      <c r="H138" s="67"/>
      <c r="I138" s="67"/>
      <c r="J138" s="68"/>
      <c r="K138" s="19"/>
      <c r="M138" s="15"/>
      <c r="N138" s="15"/>
      <c r="O138" s="15"/>
      <c r="P138" s="15"/>
      <c r="Q138" s="15"/>
      <c r="R138" s="16"/>
      <c r="S138" s="16"/>
    </row>
    <row r="139" spans="1:19" s="2" customFormat="1" ht="13.8">
      <c r="A139" s="19"/>
      <c r="B139" s="67"/>
      <c r="C139" s="130"/>
      <c r="D139" s="67"/>
      <c r="E139" s="67"/>
      <c r="F139" s="131"/>
      <c r="G139" s="67"/>
      <c r="H139" s="67"/>
      <c r="I139" s="131"/>
      <c r="J139" s="68"/>
      <c r="K139" s="19"/>
      <c r="M139" s="15"/>
      <c r="N139" s="15"/>
      <c r="O139" s="15"/>
      <c r="P139" s="15"/>
      <c r="Q139" s="15"/>
      <c r="R139" s="16"/>
      <c r="S139" s="16"/>
    </row>
    <row r="140" spans="1:19" s="2" customFormat="1" ht="13.8">
      <c r="A140" s="19"/>
      <c r="B140" s="67"/>
      <c r="C140" s="130"/>
      <c r="D140" s="67"/>
      <c r="E140" s="67"/>
      <c r="F140" s="131"/>
      <c r="G140" s="67"/>
      <c r="H140" s="67"/>
      <c r="I140" s="131"/>
      <c r="J140" s="68"/>
      <c r="K140" s="19"/>
      <c r="M140" s="15"/>
      <c r="N140" s="15"/>
      <c r="O140" s="15"/>
      <c r="P140" s="15"/>
      <c r="Q140" s="15"/>
      <c r="R140" s="16"/>
      <c r="S140" s="16"/>
    </row>
    <row r="141" spans="1:19" s="2" customFormat="1" ht="13.8">
      <c r="A141" s="19"/>
      <c r="B141" s="67"/>
      <c r="C141" s="67"/>
      <c r="D141" s="67"/>
      <c r="E141" s="67"/>
      <c r="F141" s="67"/>
      <c r="G141" s="67"/>
      <c r="H141" s="67"/>
      <c r="I141" s="67"/>
      <c r="J141" s="68"/>
      <c r="K141" s="19"/>
      <c r="M141" s="15"/>
      <c r="N141" s="15"/>
      <c r="O141" s="15"/>
      <c r="P141" s="15"/>
      <c r="Q141" s="15"/>
      <c r="R141" s="16"/>
      <c r="S141" s="16"/>
    </row>
    <row r="142" spans="1:19" s="2" customFormat="1" ht="13.8">
      <c r="A142" s="19"/>
      <c r="B142" s="136" t="s">
        <v>13</v>
      </c>
      <c r="C142" s="136" t="s">
        <v>148</v>
      </c>
      <c r="D142" s="158"/>
      <c r="E142" s="132" t="s">
        <v>146</v>
      </c>
      <c r="F142" s="112">
        <v>3</v>
      </c>
      <c r="G142" s="113"/>
      <c r="H142" s="132" t="s">
        <v>146</v>
      </c>
      <c r="I142" s="112">
        <v>4</v>
      </c>
      <c r="J142" s="113"/>
      <c r="K142" s="19"/>
      <c r="M142" s="15"/>
      <c r="N142" s="15"/>
      <c r="O142" s="15"/>
      <c r="P142" s="15"/>
      <c r="Q142" s="15"/>
      <c r="R142" s="16"/>
      <c r="S142" s="16"/>
    </row>
    <row r="143" spans="1:19" s="2" customFormat="1" ht="13.8">
      <c r="A143" s="19"/>
      <c r="B143" s="174" t="s">
        <v>142</v>
      </c>
      <c r="C143" s="174"/>
      <c r="D143" s="176"/>
      <c r="E143" s="118" t="s">
        <v>109</v>
      </c>
      <c r="F143" s="118" t="s">
        <v>108</v>
      </c>
      <c r="G143" s="116" t="s">
        <v>107</v>
      </c>
      <c r="H143" s="118" t="s">
        <v>109</v>
      </c>
      <c r="I143" s="118" t="s">
        <v>108</v>
      </c>
      <c r="J143" s="116" t="s">
        <v>107</v>
      </c>
      <c r="K143" s="19"/>
      <c r="M143" s="15"/>
      <c r="N143" s="15"/>
      <c r="O143" s="15"/>
      <c r="P143" s="15"/>
      <c r="Q143" s="15"/>
      <c r="R143" s="16"/>
      <c r="S143" s="16"/>
    </row>
    <row r="144" spans="1:19" s="2" customFormat="1" ht="13.8">
      <c r="A144" s="19"/>
      <c r="B144" s="175"/>
      <c r="C144" s="175"/>
      <c r="D144" s="177"/>
      <c r="E144" s="120" t="s">
        <v>183</v>
      </c>
      <c r="F144" s="120" t="s">
        <v>183</v>
      </c>
      <c r="G144" s="121" t="s">
        <v>183</v>
      </c>
      <c r="H144" s="119" t="s">
        <v>183</v>
      </c>
      <c r="I144" s="120" t="s">
        <v>183</v>
      </c>
      <c r="J144" s="121" t="s">
        <v>183</v>
      </c>
      <c r="K144" s="19"/>
      <c r="M144" s="15"/>
      <c r="N144" s="15"/>
      <c r="O144" s="15"/>
      <c r="P144" s="15"/>
      <c r="Q144" s="15"/>
      <c r="R144" s="16"/>
      <c r="S144" s="16"/>
    </row>
    <row r="145" spans="1:19" s="2" customFormat="1" ht="13.8">
      <c r="A145" s="19"/>
      <c r="B145" s="174">
        <v>1</v>
      </c>
      <c r="C145" s="174" t="str">
        <f>C127</f>
        <v>23.561(b)(2)(i)</v>
      </c>
      <c r="D145" s="176"/>
      <c r="E145" s="123">
        <f>'3D Bolt Calc'!E40</f>
        <v>0</v>
      </c>
      <c r="F145" s="123">
        <f>'3D Bolt Calc'!F40</f>
        <v>0</v>
      </c>
      <c r="G145" s="124">
        <f>'3D Bolt Calc'!G40</f>
        <v>544.97377358490576</v>
      </c>
      <c r="H145" s="123">
        <f>'3D Bolt Calc'!E41</f>
        <v>0</v>
      </c>
      <c r="I145" s="123">
        <f>'3D Bolt Calc'!F41</f>
        <v>0</v>
      </c>
      <c r="J145" s="124">
        <f>'3D Bolt Calc'!G41</f>
        <v>544.97377358490576</v>
      </c>
      <c r="K145" s="19"/>
      <c r="M145" s="15"/>
      <c r="N145" s="15"/>
      <c r="O145" s="15"/>
      <c r="P145" s="15"/>
      <c r="Q145" s="15"/>
      <c r="R145" s="16"/>
      <c r="S145" s="16"/>
    </row>
    <row r="146" spans="1:19" s="2" customFormat="1" ht="13.8">
      <c r="A146" s="19"/>
      <c r="B146" s="174">
        <v>2</v>
      </c>
      <c r="C146" s="174" t="str">
        <f t="shared" ref="C146:C154" si="2">C128</f>
        <v>23.561(b)(2)(ii)</v>
      </c>
      <c r="D146" s="176"/>
      <c r="E146" s="123">
        <f>'3D Bolt Calc'!E73</f>
        <v>-852.86250000000007</v>
      </c>
      <c r="F146" s="123">
        <f>'3D Bolt Calc'!F73</f>
        <v>0</v>
      </c>
      <c r="G146" s="124">
        <f>'3D Bolt Calc'!G73</f>
        <v>4087.3033018867936</v>
      </c>
      <c r="H146" s="123">
        <f>'3D Bolt Calc'!E74</f>
        <v>-852.86250000000007</v>
      </c>
      <c r="I146" s="123">
        <f>'3D Bolt Calc'!F74</f>
        <v>0</v>
      </c>
      <c r="J146" s="124">
        <f>'3D Bolt Calc'!G74</f>
        <v>4087.3033018867936</v>
      </c>
      <c r="K146" s="19"/>
      <c r="M146" s="15"/>
      <c r="N146" s="15"/>
      <c r="O146" s="15"/>
      <c r="P146" s="15"/>
      <c r="Q146" s="15"/>
      <c r="R146" s="16"/>
      <c r="S146" s="16"/>
    </row>
    <row r="147" spans="1:19" s="2" customFormat="1" ht="13.8">
      <c r="A147" s="19"/>
      <c r="B147" s="174">
        <v>3</v>
      </c>
      <c r="C147" s="174" t="str">
        <f t="shared" si="2"/>
        <v>25.561(b)(2)(iii)</v>
      </c>
      <c r="D147" s="176"/>
      <c r="E147" s="123">
        <f>'3D Bolt Calc'!E106</f>
        <v>-64.308725951592891</v>
      </c>
      <c r="F147" s="123">
        <f>'3D Bolt Calc'!F106</f>
        <v>217.8851383429872</v>
      </c>
      <c r="G147" s="124">
        <f>'3D Bolt Calc'!G106</f>
        <v>-802.32249999999976</v>
      </c>
      <c r="H147" s="123">
        <f>'3D Bolt Calc'!E107</f>
        <v>64.308725951592891</v>
      </c>
      <c r="I147" s="123">
        <f>'3D Bolt Calc'!F107</f>
        <v>217.8851383429872</v>
      </c>
      <c r="J147" s="124">
        <f>'3D Bolt Calc'!G107</f>
        <v>802.32249999999976</v>
      </c>
      <c r="K147" s="19"/>
      <c r="M147" s="15"/>
      <c r="N147" s="15"/>
      <c r="O147" s="15"/>
      <c r="P147" s="15"/>
      <c r="Q147" s="15"/>
      <c r="R147" s="16"/>
      <c r="S147" s="16"/>
    </row>
    <row r="148" spans="1:19" s="2" customFormat="1" ht="13.8">
      <c r="A148" s="19"/>
      <c r="B148" s="174">
        <v>4</v>
      </c>
      <c r="C148" s="174" t="str">
        <f t="shared" si="2"/>
        <v>23.561(b)(2)(iii)</v>
      </c>
      <c r="D148" s="176"/>
      <c r="E148" s="123">
        <f>'3D Bolt Calc'!E139</f>
        <v>64.308725951592891</v>
      </c>
      <c r="F148" s="123">
        <f>'3D Bolt Calc'!F139</f>
        <v>-217.8851383429872</v>
      </c>
      <c r="G148" s="124">
        <f>'3D Bolt Calc'!G139</f>
        <v>802.32249999999976</v>
      </c>
      <c r="H148" s="123">
        <f>'3D Bolt Calc'!E140</f>
        <v>-64.308725951592891</v>
      </c>
      <c r="I148" s="123">
        <f>'3D Bolt Calc'!F140</f>
        <v>-217.8851383429872</v>
      </c>
      <c r="J148" s="124">
        <f>'3D Bolt Calc'!G140</f>
        <v>-802.32249999999976</v>
      </c>
      <c r="K148" s="19"/>
      <c r="M148" s="15"/>
      <c r="N148" s="15"/>
      <c r="O148" s="15"/>
      <c r="P148" s="15"/>
      <c r="Q148" s="15"/>
      <c r="R148" s="16"/>
      <c r="S148" s="16"/>
    </row>
    <row r="149" spans="1:19" s="2" customFormat="1" ht="13.8">
      <c r="A149" s="19"/>
      <c r="B149" s="174">
        <v>5</v>
      </c>
      <c r="C149" s="174" t="str">
        <f t="shared" si="2"/>
        <v>23.561(b)(2)(iv)</v>
      </c>
      <c r="D149" s="176"/>
      <c r="E149" s="123">
        <f>'3D Bolt Calc'!E172</f>
        <v>0</v>
      </c>
      <c r="F149" s="123">
        <f>'3D Bolt Calc'!F172</f>
        <v>0</v>
      </c>
      <c r="G149" s="124">
        <f>'3D Bolt Calc'!G172</f>
        <v>-1089.9475471698115</v>
      </c>
      <c r="H149" s="123">
        <f>'3D Bolt Calc'!E173</f>
        <v>0</v>
      </c>
      <c r="I149" s="123">
        <f>'3D Bolt Calc'!F173</f>
        <v>0</v>
      </c>
      <c r="J149" s="124">
        <f>'3D Bolt Calc'!G173</f>
        <v>-1089.9475471698115</v>
      </c>
      <c r="K149" s="19"/>
      <c r="M149" s="15"/>
      <c r="N149" s="15"/>
      <c r="O149" s="15"/>
      <c r="P149" s="15"/>
      <c r="Q149" s="15"/>
      <c r="R149" s="16"/>
      <c r="S149" s="16"/>
    </row>
    <row r="150" spans="1:19" s="2" customFormat="1" ht="13.8">
      <c r="A150" s="19"/>
      <c r="B150" s="174">
        <v>6</v>
      </c>
      <c r="C150" s="174" t="str">
        <f t="shared" si="2"/>
        <v>(Not Used)</v>
      </c>
      <c r="D150" s="176"/>
      <c r="E150" s="123">
        <f>'3D Bolt Calc'!E205</f>
        <v>0</v>
      </c>
      <c r="F150" s="123">
        <f>'3D Bolt Calc'!F205</f>
        <v>0</v>
      </c>
      <c r="G150" s="124">
        <f>'3D Bolt Calc'!G205</f>
        <v>0</v>
      </c>
      <c r="H150" s="123">
        <f>'3D Bolt Calc'!E206</f>
        <v>0</v>
      </c>
      <c r="I150" s="123">
        <f>'3D Bolt Calc'!F206</f>
        <v>0</v>
      </c>
      <c r="J150" s="124">
        <f>'3D Bolt Calc'!G206</f>
        <v>0</v>
      </c>
      <c r="K150" s="19"/>
      <c r="M150" s="15"/>
      <c r="N150" s="15"/>
      <c r="O150" s="15"/>
      <c r="P150" s="15"/>
      <c r="Q150" s="15"/>
      <c r="R150" s="16"/>
      <c r="S150" s="16"/>
    </row>
    <row r="151" spans="1:19" s="2" customFormat="1" ht="13.8">
      <c r="A151" s="19"/>
      <c r="B151" s="174">
        <v>7</v>
      </c>
      <c r="C151" s="174" t="str">
        <f t="shared" si="2"/>
        <v>23.562(b)(1)</v>
      </c>
      <c r="D151" s="176"/>
      <c r="E151" s="123">
        <f>'3D Bolt Calc'!E238</f>
        <v>-676.875</v>
      </c>
      <c r="F151" s="123">
        <f>'3D Bolt Calc'!F238</f>
        <v>0</v>
      </c>
      <c r="G151" s="124">
        <f>'3D Bolt Calc'!G238</f>
        <v>997.06981132075452</v>
      </c>
      <c r="H151" s="123">
        <f>'3D Bolt Calc'!E239</f>
        <v>-676.875</v>
      </c>
      <c r="I151" s="123">
        <f>'3D Bolt Calc'!F239</f>
        <v>0</v>
      </c>
      <c r="J151" s="124">
        <f>'3D Bolt Calc'!G239</f>
        <v>997.06981132075452</v>
      </c>
      <c r="K151" s="19"/>
      <c r="M151" s="15"/>
      <c r="N151" s="15"/>
      <c r="O151" s="15"/>
      <c r="P151" s="15"/>
      <c r="Q151" s="15"/>
      <c r="R151" s="16"/>
      <c r="S151" s="16"/>
    </row>
    <row r="152" spans="1:19" s="2" customFormat="1" ht="13.8">
      <c r="A152" s="19"/>
      <c r="B152" s="174">
        <v>8</v>
      </c>
      <c r="C152" s="174" t="str">
        <f t="shared" si="2"/>
        <v>23.562(b)(2)</v>
      </c>
      <c r="D152" s="176"/>
      <c r="E152" s="123">
        <f>'3D Bolt Calc'!E271</f>
        <v>-1969.0572765825402</v>
      </c>
      <c r="F152" s="123">
        <f>'3D Bolt Calc'!F271</f>
        <v>491.47023686388081</v>
      </c>
      <c r="G152" s="124">
        <f>'3D Bolt Calc'!G271</f>
        <v>6931.683962264151</v>
      </c>
      <c r="H152" s="123">
        <f>'3D Bolt Calc'!E272</f>
        <v>-1678.9427234174598</v>
      </c>
      <c r="I152" s="123">
        <f>'3D Bolt Calc'!F272</f>
        <v>491.47023686388081</v>
      </c>
      <c r="J152" s="124">
        <f>'3D Bolt Calc'!G272</f>
        <v>10551.183962264151</v>
      </c>
      <c r="K152" s="19"/>
      <c r="M152" s="15"/>
      <c r="N152" s="15"/>
      <c r="O152" s="15"/>
      <c r="P152" s="15"/>
      <c r="Q152" s="15"/>
      <c r="R152" s="16"/>
      <c r="S152" s="16"/>
    </row>
    <row r="153" spans="1:19" s="2" customFormat="1" ht="13.8">
      <c r="A153" s="19"/>
      <c r="B153" s="174">
        <v>9</v>
      </c>
      <c r="C153" s="174" t="str">
        <f t="shared" si="2"/>
        <v>Max vert Gust</v>
      </c>
      <c r="D153" s="176"/>
      <c r="E153" s="123">
        <f>'3D Bolt Calc'!E304</f>
        <v>0</v>
      </c>
      <c r="F153" s="123">
        <f>'3D Bolt Calc'!F304</f>
        <v>0</v>
      </c>
      <c r="G153" s="124">
        <f>'3D Bolt Calc'!G304</f>
        <v>-1147.3132075471697</v>
      </c>
      <c r="H153" s="123">
        <f>'3D Bolt Calc'!E305</f>
        <v>0</v>
      </c>
      <c r="I153" s="123">
        <f>'3D Bolt Calc'!F305</f>
        <v>0</v>
      </c>
      <c r="J153" s="124">
        <f>'3D Bolt Calc'!G305</f>
        <v>-1147.3132075471697</v>
      </c>
      <c r="K153" s="19"/>
      <c r="M153" s="15"/>
      <c r="N153" s="15"/>
      <c r="O153" s="15"/>
      <c r="P153" s="15"/>
      <c r="Q153" s="15"/>
      <c r="R153" s="16"/>
      <c r="S153" s="16"/>
    </row>
    <row r="154" spans="1:19" s="2" customFormat="1" ht="13.8">
      <c r="A154" s="19"/>
      <c r="B154" s="174">
        <v>10</v>
      </c>
      <c r="C154" s="174" t="str">
        <f t="shared" si="2"/>
        <v>Abuse</v>
      </c>
      <c r="D154" s="176"/>
      <c r="E154" s="123"/>
      <c r="F154" s="123"/>
      <c r="G154" s="124"/>
      <c r="H154" s="123"/>
      <c r="I154" s="123"/>
      <c r="J154" s="124"/>
      <c r="K154" s="19"/>
      <c r="M154" s="15"/>
      <c r="N154" s="15"/>
      <c r="O154" s="15"/>
      <c r="P154" s="15"/>
      <c r="Q154" s="15"/>
      <c r="R154" s="16"/>
      <c r="S154" s="16"/>
    </row>
    <row r="155" spans="1:19" s="2" customFormat="1" ht="13.8">
      <c r="A155" s="19"/>
      <c r="B155" s="175"/>
      <c r="C155" s="175"/>
      <c r="D155" s="177"/>
      <c r="E155" s="128"/>
      <c r="F155" s="128"/>
      <c r="G155" s="129"/>
      <c r="H155" s="128"/>
      <c r="I155" s="128"/>
      <c r="J155" s="129"/>
      <c r="K155" s="19"/>
      <c r="M155" s="15"/>
      <c r="N155" s="15"/>
      <c r="O155" s="15"/>
      <c r="P155" s="15"/>
      <c r="Q155" s="15"/>
      <c r="R155" s="16"/>
      <c r="S155" s="16"/>
    </row>
    <row r="156" spans="1:19" s="2" customFormat="1" ht="13.8">
      <c r="A156" s="19"/>
      <c r="B156" s="19"/>
      <c r="C156" s="19"/>
      <c r="D156" s="19"/>
      <c r="E156" s="19"/>
      <c r="F156" s="19"/>
      <c r="G156" s="19"/>
      <c r="H156" s="19"/>
      <c r="I156" s="19"/>
      <c r="J156" s="19"/>
      <c r="K156" s="19"/>
      <c r="M156" s="15"/>
      <c r="N156" s="15"/>
      <c r="O156" s="15"/>
      <c r="P156" s="15"/>
      <c r="Q156" s="15"/>
      <c r="R156" s="16"/>
      <c r="S156" s="16"/>
    </row>
    <row r="157" spans="1:19" s="2" customFormat="1" ht="13.8">
      <c r="A157" s="19"/>
      <c r="B157" s="19"/>
      <c r="C157" s="19"/>
      <c r="D157" s="19"/>
      <c r="E157" s="19"/>
      <c r="F157" s="19"/>
      <c r="G157" s="19"/>
      <c r="H157" s="19"/>
      <c r="I157" s="19"/>
      <c r="J157" s="19"/>
      <c r="K157" s="19"/>
      <c r="M157" s="15"/>
      <c r="N157" s="15"/>
      <c r="O157" s="15"/>
      <c r="P157" s="15"/>
      <c r="Q157" s="15"/>
      <c r="R157" s="16"/>
      <c r="S157" s="16"/>
    </row>
    <row r="158" spans="1:19" s="2" customFormat="1" ht="13.8">
      <c r="A158" s="19"/>
      <c r="B158" s="20"/>
      <c r="C158" s="19"/>
      <c r="D158" s="23"/>
      <c r="E158" s="19"/>
      <c r="F158" s="19"/>
      <c r="G158" s="19"/>
      <c r="H158" s="19"/>
      <c r="I158" s="19"/>
      <c r="J158" s="19"/>
      <c r="K158" s="19"/>
      <c r="M158" s="15"/>
      <c r="N158" s="15"/>
      <c r="O158" s="15"/>
      <c r="P158" s="15"/>
      <c r="Q158" s="15"/>
      <c r="R158" s="16"/>
      <c r="S158" s="16"/>
    </row>
    <row r="159" spans="1:19" s="2" customFormat="1" ht="13.8">
      <c r="A159" s="19"/>
      <c r="B159" s="19"/>
      <c r="C159" s="19"/>
      <c r="D159" s="19"/>
      <c r="E159" s="19"/>
      <c r="F159" s="19"/>
      <c r="G159" s="19"/>
      <c r="H159" s="19"/>
      <c r="I159" s="19"/>
      <c r="J159" s="19"/>
      <c r="K159" s="19"/>
      <c r="M159" s="15"/>
      <c r="N159" s="15"/>
      <c r="O159" s="15"/>
      <c r="P159" s="15"/>
      <c r="Q159" s="15"/>
      <c r="R159" s="16"/>
      <c r="S159" s="16"/>
    </row>
    <row r="160" spans="1:19" s="2" customFormat="1" ht="13.8">
      <c r="A160" s="19"/>
      <c r="B160" s="19"/>
      <c r="C160" s="22"/>
      <c r="D160" s="19"/>
      <c r="E160" s="22"/>
      <c r="F160" s="19"/>
      <c r="G160" s="22"/>
      <c r="H160" s="19"/>
      <c r="I160" s="19"/>
      <c r="J160" s="19"/>
      <c r="K160" s="19"/>
      <c r="M160" s="15"/>
      <c r="N160" s="15"/>
      <c r="O160" s="15"/>
      <c r="P160" s="15"/>
      <c r="Q160" s="15"/>
      <c r="R160" s="16"/>
      <c r="S160" s="16"/>
    </row>
    <row r="161" spans="1:19" s="2" customFormat="1" ht="13.8">
      <c r="A161" s="19"/>
      <c r="B161" s="19"/>
      <c r="C161" s="22"/>
      <c r="D161" s="19"/>
      <c r="E161" s="22"/>
      <c r="F161" s="19"/>
      <c r="G161" s="22"/>
      <c r="H161" s="19"/>
      <c r="I161" s="19"/>
      <c r="J161" s="19"/>
      <c r="K161" s="19"/>
      <c r="M161" s="15"/>
      <c r="N161" s="15"/>
      <c r="O161" s="15"/>
      <c r="P161" s="15"/>
      <c r="Q161" s="15"/>
      <c r="R161" s="16"/>
      <c r="S161" s="16"/>
    </row>
    <row r="162" spans="1:19" s="2" customFormat="1" ht="13.8">
      <c r="A162" s="19"/>
      <c r="B162" s="19"/>
      <c r="C162" s="24"/>
      <c r="D162" s="19"/>
      <c r="E162" s="22"/>
      <c r="F162" s="19"/>
      <c r="G162" s="19"/>
      <c r="H162" s="19"/>
      <c r="I162" s="19"/>
      <c r="J162" s="19"/>
      <c r="K162" s="19"/>
      <c r="M162" s="15"/>
      <c r="N162" s="15"/>
      <c r="O162" s="15"/>
      <c r="P162" s="15"/>
      <c r="Q162" s="15"/>
      <c r="R162" s="16"/>
      <c r="S162" s="16"/>
    </row>
    <row r="163" spans="1:19" s="2" customFormat="1" ht="13.8">
      <c r="A163" s="19"/>
      <c r="B163" s="19"/>
      <c r="C163" s="19"/>
      <c r="D163" s="19"/>
      <c r="E163" s="21"/>
      <c r="F163" s="19"/>
      <c r="G163" s="19"/>
      <c r="H163" s="19"/>
      <c r="I163" s="19"/>
      <c r="J163" s="19"/>
      <c r="K163" s="19"/>
      <c r="M163" s="15"/>
      <c r="N163" s="15"/>
      <c r="O163" s="15"/>
      <c r="P163" s="15"/>
      <c r="Q163" s="15"/>
      <c r="R163" s="16"/>
      <c r="S163" s="16"/>
    </row>
    <row r="164" spans="1:19" s="2" customFormat="1" ht="13.8">
      <c r="A164" s="191"/>
      <c r="B164" s="192"/>
      <c r="C164" s="193"/>
      <c r="D164" s="191"/>
      <c r="E164" s="191"/>
      <c r="F164" s="191"/>
      <c r="G164" s="193"/>
      <c r="H164" s="191"/>
      <c r="I164" s="191"/>
      <c r="J164" s="191"/>
      <c r="K164" s="191"/>
      <c r="M164" s="15"/>
      <c r="N164" s="15"/>
      <c r="O164" s="15"/>
      <c r="P164" s="15"/>
      <c r="Q164" s="15"/>
      <c r="R164" s="16"/>
      <c r="S164" s="16"/>
    </row>
    <row r="165" spans="1:19" s="2" customFormat="1" ht="13.8">
      <c r="A165" s="191"/>
      <c r="B165" s="194"/>
      <c r="C165" s="193"/>
      <c r="D165" s="195"/>
      <c r="E165" s="195"/>
      <c r="F165" s="196" t="s">
        <v>192</v>
      </c>
      <c r="G165" s="193"/>
      <c r="H165" s="195"/>
      <c r="I165" s="195"/>
      <c r="J165" s="195"/>
      <c r="K165" s="191"/>
      <c r="M165" s="15"/>
      <c r="N165" s="15"/>
      <c r="O165" s="15"/>
      <c r="P165" s="15"/>
      <c r="Q165" s="15"/>
      <c r="R165" s="16"/>
      <c r="S165" s="16"/>
    </row>
    <row r="166" spans="1:19" s="2" customFormat="1" ht="13.8">
      <c r="A166" s="191"/>
      <c r="B166" s="195"/>
      <c r="C166" s="195"/>
      <c r="D166" s="195"/>
      <c r="E166" s="195"/>
      <c r="F166" s="197" t="s">
        <v>193</v>
      </c>
      <c r="G166" s="195"/>
      <c r="H166" s="195"/>
      <c r="I166" s="195"/>
      <c r="J166" s="195"/>
      <c r="K166" s="191"/>
      <c r="M166" s="15"/>
      <c r="N166" s="15"/>
      <c r="O166" s="15"/>
      <c r="P166" s="15"/>
      <c r="Q166" s="15"/>
      <c r="R166" s="16"/>
      <c r="S166" s="16"/>
    </row>
  </sheetData>
  <mergeCells count="3">
    <mergeCell ref="E43:G43"/>
    <mergeCell ref="E29:G29"/>
    <mergeCell ref="C44:C45"/>
  </mergeCells>
  <hyperlinks>
    <hyperlink ref="F166" r:id="rId1"/>
    <hyperlink ref="F113" r:id="rId2"/>
    <hyperlink ref="F60" r:id="rId3"/>
  </hyperlinks>
  <pageMargins left="0.47244094488188981" right="0.23622047244094491" top="0.31496062992125984" bottom="0.82677165354330717" header="0.31496062992125984" footer="0.47244094488188981"/>
  <pageSetup orientation="portrait" r:id="rId4"/>
  <headerFooter alignWithMargins="0">
    <oddHeader>&amp;L&amp;G</oddHeader>
    <oddFooter>&amp;C&amp;"Arial,Bold"ABBOTT AEROSPACE INC. PROPRIETARY INFORMATION&amp;"Arial,Regular"
Subject to restrictions on the cover or first page</oddFooter>
  </headerFooter>
  <rowBreaks count="2" manualBreakCount="2">
    <brk id="60" max="10" man="1"/>
    <brk id="113" max="10" man="1"/>
  </rowBreaks>
  <drawing r:id="rId5"/>
  <legacyDrawing r:id="rId6"/>
  <legacyDrawingHF r:id="rId7"/>
  <mc:AlternateContent xmlns:mc="http://schemas.openxmlformats.org/markup-compatibility/2006">
    <mc:Choice Requires="x14">
      <controls>
        <mc:AlternateContent xmlns:mc="http://schemas.openxmlformats.org/markup-compatibility/2006">
          <mc:Choice Requires="x14">
            <control shapeId="1056770" r:id="rId8" name="Scroll Bar 2">
              <controlPr defaultSize="0" autoPict="0">
                <anchor moveWithCells="1">
                  <from>
                    <xdr:col>6</xdr:col>
                    <xdr:colOff>0</xdr:colOff>
                    <xdr:row>94</xdr:row>
                    <xdr:rowOff>0</xdr:rowOff>
                  </from>
                  <to>
                    <xdr:col>8</xdr:col>
                    <xdr:colOff>297180</xdr:colOff>
                    <xdr:row>95</xdr:row>
                    <xdr:rowOff>30480</xdr:rowOff>
                  </to>
                </anchor>
              </controlPr>
            </control>
          </mc:Choice>
        </mc:AlternateContent>
        <mc:AlternateContent xmlns:mc="http://schemas.openxmlformats.org/markup-compatibility/2006">
          <mc:Choice Requires="x14">
            <control shapeId="1056771" r:id="rId9" name="Scroll Bar 3">
              <controlPr defaultSize="0" autoPict="0">
                <anchor moveWithCells="1">
                  <from>
                    <xdr:col>6</xdr:col>
                    <xdr:colOff>0</xdr:colOff>
                    <xdr:row>91</xdr:row>
                    <xdr:rowOff>0</xdr:rowOff>
                  </from>
                  <to>
                    <xdr:col>8</xdr:col>
                    <xdr:colOff>312420</xdr:colOff>
                    <xdr:row>92</xdr:row>
                    <xdr:rowOff>30480</xdr:rowOff>
                  </to>
                </anchor>
              </controlPr>
            </control>
          </mc:Choice>
        </mc:AlternateContent>
        <mc:AlternateContent xmlns:mc="http://schemas.openxmlformats.org/markup-compatibility/2006">
          <mc:Choice Requires="x14">
            <control shapeId="1056772" r:id="rId10" name="Scroll Bar 4">
              <controlPr defaultSize="0" autoPict="0">
                <anchor moveWithCells="1">
                  <from>
                    <xdr:col>6</xdr:col>
                    <xdr:colOff>0</xdr:colOff>
                    <xdr:row>100</xdr:row>
                    <xdr:rowOff>0</xdr:rowOff>
                  </from>
                  <to>
                    <xdr:col>8</xdr:col>
                    <xdr:colOff>312420</xdr:colOff>
                    <xdr:row>101</xdr:row>
                    <xdr:rowOff>30480</xdr:rowOff>
                  </to>
                </anchor>
              </controlPr>
            </control>
          </mc:Choice>
        </mc:AlternateContent>
        <mc:AlternateContent xmlns:mc="http://schemas.openxmlformats.org/markup-compatibility/2006">
          <mc:Choice Requires="x14">
            <control shapeId="1056773" r:id="rId11" name="Scroll Bar 5">
              <controlPr defaultSize="0" autoPict="0">
                <anchor moveWithCells="1">
                  <from>
                    <xdr:col>6</xdr:col>
                    <xdr:colOff>0</xdr:colOff>
                    <xdr:row>103</xdr:row>
                    <xdr:rowOff>0</xdr:rowOff>
                  </from>
                  <to>
                    <xdr:col>8</xdr:col>
                    <xdr:colOff>312420</xdr:colOff>
                    <xdr:row>104</xdr:row>
                    <xdr:rowOff>30480</xdr:rowOff>
                  </to>
                </anchor>
              </controlPr>
            </control>
          </mc:Choice>
        </mc:AlternateContent>
        <mc:AlternateContent xmlns:mc="http://schemas.openxmlformats.org/markup-compatibility/2006">
          <mc:Choice Requires="x14">
            <control shapeId="1056774" r:id="rId12" name="Scroll Bar 6">
              <controlPr defaultSize="0" autoPict="0">
                <anchor moveWithCells="1">
                  <from>
                    <xdr:col>6</xdr:col>
                    <xdr:colOff>0</xdr:colOff>
                    <xdr:row>97</xdr:row>
                    <xdr:rowOff>0</xdr:rowOff>
                  </from>
                  <to>
                    <xdr:col>8</xdr:col>
                    <xdr:colOff>312420</xdr:colOff>
                    <xdr:row>98</xdr:row>
                    <xdr:rowOff>30480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AU330"/>
  <sheetViews>
    <sheetView topLeftCell="A19" zoomScale="10" zoomScaleNormal="10" workbookViewId="0">
      <selection activeCell="V38" sqref="V38"/>
    </sheetView>
  </sheetViews>
  <sheetFormatPr defaultColWidth="2.88671875" defaultRowHeight="14.4"/>
  <cols>
    <col min="1" max="2" width="8.5546875" style="25" customWidth="1"/>
    <col min="3" max="3" width="11.44140625" style="26" customWidth="1"/>
    <col min="4" max="4" width="9.109375" style="26" customWidth="1"/>
    <col min="5" max="7" width="12.44140625" style="26" bestFit="1" customWidth="1"/>
    <col min="8" max="10" width="9.109375" style="26" customWidth="1"/>
    <col min="11" max="14" width="10.33203125" style="26" customWidth="1"/>
    <col min="15" max="21" width="13.88671875" style="26" customWidth="1"/>
    <col min="22" max="22" width="12.44140625" style="26" customWidth="1"/>
    <col min="23" max="32" width="13.88671875" style="26" customWidth="1"/>
    <col min="33" max="33" width="15.33203125" style="26" customWidth="1"/>
    <col min="34" max="37" width="2.88671875" style="26"/>
    <col min="38" max="38" width="12.44140625" style="26" customWidth="1"/>
    <col min="39" max="47" width="2.88671875" style="26"/>
    <col min="48" max="132" width="8.5546875" style="25" customWidth="1"/>
    <col min="133" max="16384" width="2.88671875" style="25"/>
  </cols>
  <sheetData>
    <row r="1" spans="3:47" ht="21">
      <c r="D1" s="66"/>
      <c r="T1" s="62"/>
      <c r="U1" s="62"/>
    </row>
    <row r="2" spans="3:47" ht="17.399999999999999">
      <c r="C2" s="64" t="s">
        <v>154</v>
      </c>
      <c r="D2" s="65"/>
      <c r="E2" s="64"/>
      <c r="F2" s="64"/>
      <c r="G2" s="64"/>
      <c r="H2" s="64" t="s">
        <v>153</v>
      </c>
      <c r="I2" s="64"/>
      <c r="J2" s="63"/>
      <c r="T2" s="62"/>
      <c r="U2" s="62"/>
    </row>
    <row r="3" spans="3:47" ht="18">
      <c r="C3" s="49" t="s">
        <v>98</v>
      </c>
      <c r="D3" s="49" t="s">
        <v>97</v>
      </c>
      <c r="E3" s="60" t="s">
        <v>90</v>
      </c>
      <c r="F3" s="60" t="s">
        <v>89</v>
      </c>
      <c r="G3" s="60" t="s">
        <v>88</v>
      </c>
      <c r="H3" s="49" t="s">
        <v>151</v>
      </c>
      <c r="I3" s="49" t="s">
        <v>150</v>
      </c>
      <c r="J3" s="49" t="s">
        <v>149</v>
      </c>
      <c r="K3" s="50"/>
      <c r="L3" s="50"/>
      <c r="M3" s="50"/>
      <c r="N3" s="50"/>
      <c r="O3" s="50"/>
      <c r="P3" s="50"/>
      <c r="Q3" s="50"/>
      <c r="R3" s="50"/>
      <c r="S3" s="31"/>
      <c r="T3" s="59"/>
      <c r="U3" s="58"/>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row>
    <row r="4" spans="3:47">
      <c r="C4" s="30"/>
      <c r="D4" s="39">
        <v>1</v>
      </c>
      <c r="E4" s="47">
        <f>PURPOSE!AD14/25.4</f>
        <v>0</v>
      </c>
      <c r="F4" s="55">
        <f>PURPOSE!AE14/25.4</f>
        <v>5.3149606299212602</v>
      </c>
      <c r="G4" s="55">
        <f>PURPOSE!C20</f>
        <v>0</v>
      </c>
      <c r="H4" s="54">
        <v>1</v>
      </c>
      <c r="I4" s="53">
        <v>1</v>
      </c>
      <c r="J4" s="53">
        <v>1</v>
      </c>
      <c r="S4" s="31"/>
      <c r="T4" s="31"/>
    </row>
    <row r="5" spans="3:47">
      <c r="C5" s="30"/>
      <c r="D5" s="39">
        <v>2</v>
      </c>
      <c r="E5" s="47">
        <f>PURPOSE!AD16/25.4</f>
        <v>0</v>
      </c>
      <c r="F5" s="55">
        <f>PURPOSE!AE16/25.4</f>
        <v>-5.3149606299212602</v>
      </c>
      <c r="G5" s="55">
        <f>PURPOSE!C20</f>
        <v>0</v>
      </c>
      <c r="H5" s="54">
        <v>1</v>
      </c>
      <c r="I5" s="53">
        <v>1</v>
      </c>
      <c r="J5" s="53">
        <v>1</v>
      </c>
      <c r="S5" s="31"/>
      <c r="T5" s="31"/>
    </row>
    <row r="6" spans="3:47">
      <c r="C6" s="30"/>
      <c r="D6" s="39">
        <v>3</v>
      </c>
      <c r="E6" s="47">
        <f>PURPOSE!AD18/25.4</f>
        <v>12.51968503937008</v>
      </c>
      <c r="F6" s="55">
        <f>PURPOSE!AE18/25.4</f>
        <v>5.3149606299212602</v>
      </c>
      <c r="G6" s="55">
        <f>PURPOSE!C20</f>
        <v>0</v>
      </c>
      <c r="H6" s="54">
        <v>1</v>
      </c>
      <c r="I6" s="53">
        <v>1</v>
      </c>
      <c r="J6" s="53">
        <v>1</v>
      </c>
      <c r="S6" s="31"/>
      <c r="T6" s="31"/>
    </row>
    <row r="7" spans="3:47">
      <c r="C7" s="30"/>
      <c r="D7" s="39">
        <v>4</v>
      </c>
      <c r="E7" s="47">
        <f>PURPOSE!AD20/25.4</f>
        <v>12.51968503937008</v>
      </c>
      <c r="F7" s="55">
        <f>PURPOSE!AE20/25.4</f>
        <v>-5.3149606299212602</v>
      </c>
      <c r="G7" s="55">
        <f>PURPOSE!C20</f>
        <v>0</v>
      </c>
      <c r="H7" s="54">
        <v>1</v>
      </c>
      <c r="I7" s="53">
        <v>1</v>
      </c>
      <c r="J7" s="53">
        <v>1</v>
      </c>
      <c r="S7" s="31"/>
      <c r="T7" s="31"/>
    </row>
    <row r="8" spans="3:47">
      <c r="C8" s="30"/>
      <c r="D8" s="39">
        <v>5</v>
      </c>
      <c r="E8" s="47"/>
      <c r="F8" s="47"/>
      <c r="G8" s="47"/>
      <c r="H8" s="54">
        <v>0</v>
      </c>
      <c r="I8" s="53">
        <v>0</v>
      </c>
      <c r="J8" s="53">
        <v>0</v>
      </c>
      <c r="S8" s="31"/>
      <c r="T8" s="57"/>
      <c r="U8" s="31"/>
    </row>
    <row r="9" spans="3:47">
      <c r="C9" s="30"/>
      <c r="D9" s="39">
        <v>6</v>
      </c>
      <c r="E9" s="47"/>
      <c r="F9" s="47"/>
      <c r="G9" s="47"/>
      <c r="H9" s="54">
        <v>0</v>
      </c>
      <c r="I9" s="53">
        <v>0</v>
      </c>
      <c r="J9" s="53">
        <v>0</v>
      </c>
      <c r="S9" s="31"/>
      <c r="T9" s="45"/>
      <c r="U9" s="31"/>
    </row>
    <row r="10" spans="3:47">
      <c r="C10" s="30"/>
      <c r="D10" s="39">
        <v>7</v>
      </c>
      <c r="E10" s="47"/>
      <c r="F10" s="47"/>
      <c r="G10" s="47"/>
      <c r="H10" s="54">
        <v>0</v>
      </c>
      <c r="I10" s="53">
        <v>0</v>
      </c>
      <c r="J10" s="53">
        <v>0</v>
      </c>
      <c r="S10" s="31"/>
      <c r="T10" s="45"/>
      <c r="U10" s="31"/>
    </row>
    <row r="11" spans="3:47">
      <c r="C11" s="30"/>
      <c r="D11" s="39">
        <v>8</v>
      </c>
      <c r="E11" s="47"/>
      <c r="F11" s="47"/>
      <c r="G11" s="47"/>
      <c r="H11" s="54">
        <v>0</v>
      </c>
      <c r="I11" s="53">
        <v>0</v>
      </c>
      <c r="J11" s="53">
        <v>0</v>
      </c>
      <c r="S11" s="31"/>
      <c r="T11" s="45"/>
      <c r="U11" s="31"/>
    </row>
    <row r="12" spans="3:47">
      <c r="C12" s="30"/>
      <c r="D12" s="39">
        <v>9</v>
      </c>
      <c r="E12" s="47"/>
      <c r="F12" s="55"/>
      <c r="G12" s="55"/>
      <c r="H12" s="54">
        <v>0</v>
      </c>
      <c r="I12" s="53">
        <v>0</v>
      </c>
      <c r="J12" s="53">
        <v>0</v>
      </c>
      <c r="S12" s="31"/>
      <c r="T12" s="45"/>
      <c r="U12" s="31"/>
    </row>
    <row r="13" spans="3:47">
      <c r="C13" s="30"/>
      <c r="D13" s="39">
        <v>10</v>
      </c>
      <c r="E13" s="47"/>
      <c r="F13" s="55"/>
      <c r="G13" s="55"/>
      <c r="H13" s="54">
        <v>0</v>
      </c>
      <c r="I13" s="53">
        <v>0</v>
      </c>
      <c r="J13" s="53">
        <v>0</v>
      </c>
      <c r="S13" s="31"/>
      <c r="T13" s="45"/>
      <c r="U13" s="31"/>
    </row>
    <row r="14" spans="3:47">
      <c r="C14" s="30"/>
      <c r="D14" s="39">
        <v>11</v>
      </c>
      <c r="E14" s="47"/>
      <c r="F14" s="55"/>
      <c r="G14" s="47"/>
      <c r="H14" s="54">
        <v>0</v>
      </c>
      <c r="I14" s="53">
        <v>0</v>
      </c>
      <c r="J14" s="53">
        <v>0</v>
      </c>
      <c r="S14" s="31"/>
      <c r="T14" s="45"/>
      <c r="U14" s="31"/>
    </row>
    <row r="15" spans="3:47">
      <c r="C15" s="30"/>
      <c r="D15" s="39">
        <v>12</v>
      </c>
      <c r="E15" s="47"/>
      <c r="F15" s="55"/>
      <c r="G15" s="47"/>
      <c r="H15" s="54">
        <v>0</v>
      </c>
      <c r="I15" s="53">
        <v>0</v>
      </c>
      <c r="J15" s="53">
        <v>0</v>
      </c>
      <c r="S15" s="31"/>
      <c r="T15" s="31"/>
      <c r="U15" s="31"/>
    </row>
    <row r="16" spans="3:47">
      <c r="C16" s="30"/>
      <c r="D16" s="39">
        <v>13</v>
      </c>
      <c r="E16" s="56"/>
      <c r="F16" s="55"/>
      <c r="G16" s="47"/>
      <c r="H16" s="54">
        <v>0</v>
      </c>
      <c r="I16" s="53">
        <v>0</v>
      </c>
      <c r="J16" s="53">
        <v>0</v>
      </c>
      <c r="S16" s="31"/>
      <c r="T16" s="31"/>
      <c r="U16" s="31"/>
    </row>
    <row r="17" spans="3:21">
      <c r="C17" s="30"/>
      <c r="D17" s="39">
        <v>14</v>
      </c>
      <c r="E17" s="47"/>
      <c r="F17" s="47"/>
      <c r="G17" s="47"/>
      <c r="H17" s="54">
        <v>0</v>
      </c>
      <c r="I17" s="53">
        <v>0</v>
      </c>
      <c r="J17" s="53">
        <v>0</v>
      </c>
      <c r="S17" s="31"/>
      <c r="T17" s="31"/>
      <c r="U17" s="31"/>
    </row>
    <row r="18" spans="3:21">
      <c r="C18" s="30"/>
      <c r="D18" s="39">
        <v>15</v>
      </c>
      <c r="E18" s="47"/>
      <c r="F18" s="55"/>
      <c r="G18" s="55"/>
      <c r="H18" s="54">
        <v>0</v>
      </c>
      <c r="I18" s="53">
        <v>0</v>
      </c>
      <c r="J18" s="53">
        <v>0</v>
      </c>
      <c r="S18" s="31"/>
      <c r="T18" s="31"/>
      <c r="U18" s="31"/>
    </row>
    <row r="19" spans="3:21">
      <c r="C19" s="30"/>
      <c r="D19" s="29">
        <v>16</v>
      </c>
      <c r="E19" s="47"/>
      <c r="F19" s="55"/>
      <c r="G19" s="55"/>
      <c r="H19" s="54">
        <v>0</v>
      </c>
      <c r="I19" s="53">
        <v>0</v>
      </c>
      <c r="J19" s="53">
        <v>0</v>
      </c>
      <c r="S19" s="31"/>
      <c r="T19" s="31"/>
      <c r="U19" s="31"/>
    </row>
    <row r="20" spans="3:21">
      <c r="C20" s="30"/>
      <c r="D20" s="29">
        <v>17</v>
      </c>
      <c r="E20" s="47"/>
      <c r="F20" s="55"/>
      <c r="G20" s="55"/>
      <c r="H20" s="54">
        <v>0</v>
      </c>
      <c r="I20" s="53">
        <v>0</v>
      </c>
      <c r="J20" s="53">
        <v>0</v>
      </c>
      <c r="S20" s="31"/>
      <c r="T20" s="31"/>
      <c r="U20" s="31"/>
    </row>
    <row r="21" spans="3:21">
      <c r="C21" s="30"/>
      <c r="D21" s="29">
        <v>18</v>
      </c>
      <c r="E21" s="47"/>
      <c r="F21" s="55"/>
      <c r="G21" s="55"/>
      <c r="H21" s="54">
        <v>0</v>
      </c>
      <c r="I21" s="53">
        <v>0</v>
      </c>
      <c r="J21" s="53">
        <v>0</v>
      </c>
      <c r="S21" s="31"/>
      <c r="T21" s="31"/>
      <c r="U21" s="31"/>
    </row>
    <row r="22" spans="3:21">
      <c r="C22" s="30"/>
      <c r="D22" s="29">
        <v>19</v>
      </c>
      <c r="E22" s="47"/>
      <c r="F22" s="55"/>
      <c r="G22" s="55"/>
      <c r="H22" s="54">
        <v>0</v>
      </c>
      <c r="I22" s="53">
        <v>0</v>
      </c>
      <c r="J22" s="53">
        <v>0</v>
      </c>
      <c r="S22" s="31"/>
      <c r="T22" s="31"/>
      <c r="U22" s="31"/>
    </row>
    <row r="23" spans="3:21">
      <c r="C23" s="30"/>
      <c r="D23" s="29">
        <v>20</v>
      </c>
      <c r="E23" s="47"/>
      <c r="F23" s="55"/>
      <c r="G23" s="55"/>
      <c r="H23" s="54">
        <v>0</v>
      </c>
      <c r="I23" s="53">
        <v>0</v>
      </c>
      <c r="J23" s="53">
        <v>0</v>
      </c>
      <c r="S23" s="31"/>
      <c r="T23" s="31"/>
      <c r="U23" s="31"/>
    </row>
    <row r="24" spans="3:21">
      <c r="C24" s="30"/>
      <c r="D24" s="29">
        <v>21</v>
      </c>
      <c r="E24" s="47"/>
      <c r="F24" s="55"/>
      <c r="G24" s="55"/>
      <c r="H24" s="54">
        <v>0</v>
      </c>
      <c r="I24" s="53">
        <v>0</v>
      </c>
      <c r="J24" s="53">
        <v>0</v>
      </c>
      <c r="S24" s="31"/>
      <c r="T24" s="31"/>
      <c r="U24" s="31"/>
    </row>
    <row r="25" spans="3:21">
      <c r="C25" s="30"/>
      <c r="D25" s="29">
        <v>22</v>
      </c>
      <c r="E25" s="47"/>
      <c r="F25" s="55"/>
      <c r="G25" s="55"/>
      <c r="H25" s="54">
        <v>0</v>
      </c>
      <c r="I25" s="53">
        <v>0</v>
      </c>
      <c r="J25" s="53">
        <v>0</v>
      </c>
      <c r="S25" s="31"/>
      <c r="T25" s="31"/>
      <c r="U25" s="31"/>
    </row>
    <row r="26" spans="3:21">
      <c r="C26" s="30"/>
      <c r="D26" s="29">
        <v>23</v>
      </c>
      <c r="E26" s="47"/>
      <c r="F26" s="55"/>
      <c r="G26" s="55"/>
      <c r="H26" s="54">
        <v>0</v>
      </c>
      <c r="I26" s="53">
        <v>0</v>
      </c>
      <c r="J26" s="53">
        <v>0</v>
      </c>
      <c r="S26" s="31"/>
      <c r="T26" s="31"/>
      <c r="U26" s="31"/>
    </row>
    <row r="27" spans="3:21">
      <c r="C27" s="30"/>
      <c r="D27" s="29">
        <v>24</v>
      </c>
      <c r="E27" s="47"/>
      <c r="F27" s="55"/>
      <c r="G27" s="55"/>
      <c r="H27" s="54">
        <v>0</v>
      </c>
      <c r="I27" s="53">
        <v>0</v>
      </c>
      <c r="J27" s="53">
        <v>0</v>
      </c>
      <c r="S27" s="31"/>
      <c r="T27" s="31"/>
      <c r="U27" s="31"/>
    </row>
    <row r="28" spans="3:21">
      <c r="C28" s="30"/>
      <c r="D28" s="29">
        <v>25</v>
      </c>
      <c r="E28" s="47"/>
      <c r="F28" s="55"/>
      <c r="G28" s="55"/>
      <c r="H28" s="54">
        <v>0</v>
      </c>
      <c r="I28" s="53">
        <v>0</v>
      </c>
      <c r="J28" s="53">
        <v>0</v>
      </c>
      <c r="S28" s="31"/>
      <c r="T28" s="31"/>
      <c r="U28" s="31"/>
    </row>
    <row r="29" spans="3:21">
      <c r="C29" s="30"/>
      <c r="D29" s="29">
        <v>26</v>
      </c>
      <c r="E29" s="47"/>
      <c r="F29" s="55"/>
      <c r="G29" s="55"/>
      <c r="H29" s="54">
        <v>0</v>
      </c>
      <c r="I29" s="53">
        <v>0</v>
      </c>
      <c r="J29" s="53">
        <v>0</v>
      </c>
      <c r="S29" s="31"/>
      <c r="T29" s="31"/>
      <c r="U29" s="31"/>
    </row>
    <row r="30" spans="3:21">
      <c r="C30" s="30"/>
      <c r="D30" s="29">
        <v>27</v>
      </c>
      <c r="E30" s="56"/>
      <c r="F30" s="55"/>
      <c r="G30" s="55"/>
      <c r="H30" s="54">
        <v>0</v>
      </c>
      <c r="I30" s="53">
        <v>0</v>
      </c>
      <c r="J30" s="53">
        <v>0</v>
      </c>
      <c r="S30" s="31"/>
      <c r="T30" s="31"/>
      <c r="U30" s="31"/>
    </row>
    <row r="31" spans="3:21">
      <c r="C31" s="30"/>
      <c r="D31" s="29">
        <v>28</v>
      </c>
      <c r="E31" s="56"/>
      <c r="F31" s="55"/>
      <c r="G31" s="55"/>
      <c r="H31" s="54">
        <v>0</v>
      </c>
      <c r="I31" s="53">
        <v>0</v>
      </c>
      <c r="J31" s="53">
        <v>0</v>
      </c>
      <c r="S31" s="31"/>
      <c r="T31" s="31"/>
      <c r="U31" s="31"/>
    </row>
    <row r="32" spans="3:21">
      <c r="C32" s="30"/>
      <c r="D32" s="29">
        <v>29</v>
      </c>
      <c r="E32" s="56"/>
      <c r="F32" s="55"/>
      <c r="G32" s="55"/>
      <c r="H32" s="54">
        <v>0</v>
      </c>
      <c r="I32" s="53">
        <v>0</v>
      </c>
      <c r="J32" s="53">
        <v>0</v>
      </c>
      <c r="S32" s="31"/>
      <c r="T32" s="31"/>
      <c r="U32" s="31"/>
    </row>
    <row r="33" spans="3:47">
      <c r="D33" s="33"/>
      <c r="E33" s="33"/>
      <c r="F33" s="33"/>
      <c r="G33" s="33"/>
      <c r="H33" s="33"/>
      <c r="I33" s="33"/>
      <c r="J33" s="33"/>
      <c r="L33" s="33"/>
      <c r="M33" s="33"/>
      <c r="N33" s="33"/>
      <c r="O33" s="33"/>
      <c r="P33" s="33"/>
      <c r="Q33" s="33"/>
      <c r="R33" s="33"/>
      <c r="S33" s="33"/>
      <c r="T33" s="33"/>
      <c r="U33" s="33"/>
    </row>
    <row r="35" spans="3:47" ht="15.6">
      <c r="C35" s="52" t="str">
        <f>PURPOSE!C32</f>
        <v>23.561(b)(2)(i)</v>
      </c>
      <c r="D35" s="51"/>
      <c r="E35" s="51"/>
      <c r="F35" s="51"/>
    </row>
    <row r="36" spans="3:47">
      <c r="AK36" s="31"/>
    </row>
    <row r="37" spans="3:47" s="61" customFormat="1" ht="27.6">
      <c r="C37" s="80" t="s">
        <v>98</v>
      </c>
      <c r="D37" s="80" t="s">
        <v>97</v>
      </c>
      <c r="E37" s="80" t="s">
        <v>164</v>
      </c>
      <c r="F37" s="80" t="s">
        <v>165</v>
      </c>
      <c r="G37" s="80" t="s">
        <v>166</v>
      </c>
      <c r="H37" s="81"/>
      <c r="I37" s="80" t="s">
        <v>93</v>
      </c>
      <c r="J37" s="80" t="s">
        <v>92</v>
      </c>
      <c r="K37" s="80" t="s">
        <v>91</v>
      </c>
      <c r="L37" s="82"/>
      <c r="M37" s="83" t="s">
        <v>13</v>
      </c>
      <c r="N37" s="83" t="s">
        <v>90</v>
      </c>
      <c r="O37" s="83" t="s">
        <v>89</v>
      </c>
      <c r="P37" s="83" t="s">
        <v>88</v>
      </c>
      <c r="Q37" s="83" t="s">
        <v>167</v>
      </c>
      <c r="R37" s="83" t="s">
        <v>168</v>
      </c>
      <c r="S37" s="83" t="s">
        <v>169</v>
      </c>
      <c r="T37" s="84"/>
      <c r="U37" s="83" t="s">
        <v>170</v>
      </c>
      <c r="V37" s="83" t="s">
        <v>171</v>
      </c>
      <c r="W37" s="83" t="s">
        <v>172</v>
      </c>
      <c r="X37" s="85"/>
      <c r="Y37" s="86" t="s">
        <v>81</v>
      </c>
      <c r="Z37" s="86">
        <v>1</v>
      </c>
      <c r="AA37" s="85" t="s">
        <v>80</v>
      </c>
      <c r="AB37" s="87">
        <f>SUMPRODUCT($J$4:$J$32,$E$4:$E$32,$F$4:$F$32)</f>
        <v>0</v>
      </c>
      <c r="AC37" s="85" t="s">
        <v>79</v>
      </c>
      <c r="AD37" s="87">
        <f>SUMPRODUCT(H4:H32,F4:F32,G4:G32)</f>
        <v>0</v>
      </c>
      <c r="AE37" s="85" t="s">
        <v>78</v>
      </c>
      <c r="AF37" s="87">
        <f>SUMPRODUCT($I$4:$I$32,$E$4:$E$32,$G$4:$G$32)</f>
        <v>0</v>
      </c>
      <c r="AG37" s="82"/>
      <c r="AH37" s="82"/>
      <c r="AI37" s="82"/>
      <c r="AJ37" s="82"/>
      <c r="AK37" s="88"/>
      <c r="AL37" s="82"/>
      <c r="AM37" s="82"/>
      <c r="AN37" s="82"/>
      <c r="AO37" s="82"/>
      <c r="AP37" s="82"/>
      <c r="AQ37" s="82"/>
      <c r="AR37" s="82"/>
      <c r="AS37" s="82"/>
      <c r="AT37" s="82"/>
      <c r="AU37" s="82"/>
    </row>
    <row r="38" spans="3:47" s="61" customFormat="1">
      <c r="C38" s="86" t="s">
        <v>77</v>
      </c>
      <c r="D38" s="89">
        <v>1</v>
      </c>
      <c r="E38" s="90">
        <f>(AF45-($F$4-AD43)*AF51+($G$4-AF42)*AF50)*$H$4</f>
        <v>0</v>
      </c>
      <c r="F38" s="90">
        <f>(AF46+($E$4-AB43)*AF51-($G$4-AF43)*AF49)*$I$4</f>
        <v>0</v>
      </c>
      <c r="G38" s="90">
        <f>(AF47-($E$4-AB42)*AF50+($F$4-AD42)*AF49)*$J$4</f>
        <v>23.601226415094345</v>
      </c>
      <c r="H38" s="91"/>
      <c r="I38" s="92">
        <f t="shared" ref="I38:I66" si="0">SQRT(E38^2+F38^2)</f>
        <v>0</v>
      </c>
      <c r="J38" s="92">
        <f t="shared" ref="J38:J66" si="1">SQRT(E38^2+G38^2)</f>
        <v>23.601226415094345</v>
      </c>
      <c r="K38" s="92">
        <f t="shared" ref="K38:K66" si="2">SQRT(F38^2+G38^2)</f>
        <v>23.601226415094345</v>
      </c>
      <c r="L38" s="82"/>
      <c r="M38" s="86">
        <v>1</v>
      </c>
      <c r="N38" s="93">
        <f>PURPOSE!D25</f>
        <v>12</v>
      </c>
      <c r="O38" s="93">
        <f>PURPOSE!E25</f>
        <v>0</v>
      </c>
      <c r="P38" s="93">
        <f>PURPOSE!F25</f>
        <v>30</v>
      </c>
      <c r="Q38" s="94">
        <f>PURPOSE!E46</f>
        <v>0</v>
      </c>
      <c r="R38" s="94">
        <f>PURPOSE!F46</f>
        <v>0</v>
      </c>
      <c r="S38" s="94">
        <f>PURPOSE!G46</f>
        <v>1137.1500000000001</v>
      </c>
      <c r="T38" s="88"/>
      <c r="U38" s="86">
        <v>0</v>
      </c>
      <c r="V38" s="86">
        <v>0</v>
      </c>
      <c r="W38" s="86">
        <v>0</v>
      </c>
      <c r="X38" s="85"/>
      <c r="Y38" s="86" t="s">
        <v>76</v>
      </c>
      <c r="Z38" s="86">
        <v>1</v>
      </c>
      <c r="AA38" s="85" t="s">
        <v>75</v>
      </c>
      <c r="AB38" s="87">
        <f>SUMPRODUCT($J$4:$J$32,$E$4:$E$32)</f>
        <v>25.039370078740159</v>
      </c>
      <c r="AC38" s="85" t="s">
        <v>74</v>
      </c>
      <c r="AD38" s="87">
        <f>SUMPRODUCT($J$4:$J$32,$F$4:$F$32)</f>
        <v>0</v>
      </c>
      <c r="AE38" s="85" t="s">
        <v>73</v>
      </c>
      <c r="AF38" s="87">
        <f>SUMPRODUCT($H$4:$H$32,$G$4:$G$32)</f>
        <v>0</v>
      </c>
      <c r="AG38" s="82"/>
      <c r="AH38" s="82"/>
      <c r="AI38" s="82"/>
      <c r="AJ38" s="82"/>
      <c r="AK38" s="88"/>
      <c r="AL38" s="82"/>
      <c r="AM38" s="82"/>
      <c r="AN38" s="82"/>
      <c r="AO38" s="82"/>
      <c r="AP38" s="82"/>
      <c r="AQ38" s="82"/>
      <c r="AR38" s="82"/>
      <c r="AS38" s="82"/>
      <c r="AT38" s="82"/>
      <c r="AU38" s="82"/>
    </row>
    <row r="39" spans="3:47" s="61" customFormat="1">
      <c r="C39" s="86" t="s">
        <v>72</v>
      </c>
      <c r="D39" s="89">
        <v>2</v>
      </c>
      <c r="E39" s="90">
        <f>(AF45-($F$5-AD43)*AF51+($G$5-AF42)*AF50)*$H$5</f>
        <v>0</v>
      </c>
      <c r="F39" s="90">
        <f>(AF46+($E$5-AB43)*AF51-($G$5-AF43)*AF49)*$I$5</f>
        <v>0</v>
      </c>
      <c r="G39" s="90">
        <f>(AF47-($E$5-AB42)*AF50+($F$5-AD42)*AF49)*$J$5</f>
        <v>23.601226415094345</v>
      </c>
      <c r="H39" s="91"/>
      <c r="I39" s="92">
        <f t="shared" si="0"/>
        <v>0</v>
      </c>
      <c r="J39" s="92">
        <f t="shared" si="1"/>
        <v>23.601226415094345</v>
      </c>
      <c r="K39" s="92">
        <f t="shared" si="2"/>
        <v>23.601226415094345</v>
      </c>
      <c r="L39" s="82"/>
      <c r="M39" s="86">
        <v>2</v>
      </c>
      <c r="N39" s="93"/>
      <c r="O39" s="93"/>
      <c r="P39" s="93"/>
      <c r="Q39" s="93"/>
      <c r="R39" s="95"/>
      <c r="S39" s="95"/>
      <c r="T39" s="88"/>
      <c r="U39" s="86"/>
      <c r="V39" s="86"/>
      <c r="W39" s="86"/>
      <c r="X39" s="85"/>
      <c r="Y39" s="86" t="s">
        <v>71</v>
      </c>
      <c r="Z39" s="86">
        <v>0</v>
      </c>
      <c r="AA39" s="85" t="s">
        <v>70</v>
      </c>
      <c r="AB39" s="87">
        <f>SUMPRODUCT($I$4:$I$32,$E$4:$E$32)</f>
        <v>25.039370078740159</v>
      </c>
      <c r="AC39" s="85" t="s">
        <v>69</v>
      </c>
      <c r="AD39" s="87">
        <f>SUMPRODUCT($H$4:$H$32,$F$4:$F$32)</f>
        <v>0</v>
      </c>
      <c r="AE39" s="85" t="s">
        <v>68</v>
      </c>
      <c r="AF39" s="87">
        <f>SUMPRODUCT($I$4:$I$32,$G$4:$G$32)</f>
        <v>0</v>
      </c>
      <c r="AG39" s="82"/>
      <c r="AH39" s="82"/>
      <c r="AI39" s="82"/>
      <c r="AJ39" s="82"/>
      <c r="AK39" s="88"/>
      <c r="AL39" s="82"/>
      <c r="AM39" s="82"/>
      <c r="AN39" s="82"/>
      <c r="AO39" s="82"/>
      <c r="AP39" s="82"/>
      <c r="AQ39" s="82"/>
      <c r="AR39" s="82"/>
      <c r="AS39" s="82"/>
      <c r="AT39" s="82"/>
      <c r="AU39" s="82"/>
    </row>
    <row r="40" spans="3:47" s="61" customFormat="1">
      <c r="C40" s="86" t="s">
        <v>67</v>
      </c>
      <c r="D40" s="89">
        <v>3</v>
      </c>
      <c r="E40" s="90">
        <f>(AF45-($F$6-AD43)*AF51+($G$6-AF42)*AF50)*$H$6</f>
        <v>0</v>
      </c>
      <c r="F40" s="90">
        <f>(AF46+($E$6-AB43)*AF51-($G$6-AF43)*AF49)*$I$6</f>
        <v>0</v>
      </c>
      <c r="G40" s="90">
        <f>(AF47-($E$6-AB42)*AF50+($F$6-AD42)*AF49)*$J$6</f>
        <v>544.97377358490576</v>
      </c>
      <c r="H40" s="91"/>
      <c r="I40" s="92">
        <f t="shared" si="0"/>
        <v>0</v>
      </c>
      <c r="J40" s="92">
        <f t="shared" si="1"/>
        <v>544.97377358490576</v>
      </c>
      <c r="K40" s="92">
        <f t="shared" si="2"/>
        <v>544.97377358490576</v>
      </c>
      <c r="L40" s="82"/>
      <c r="M40" s="86">
        <v>3</v>
      </c>
      <c r="N40" s="86"/>
      <c r="O40" s="86"/>
      <c r="P40" s="86"/>
      <c r="Q40" s="86"/>
      <c r="R40" s="86"/>
      <c r="S40" s="86"/>
      <c r="T40" s="88"/>
      <c r="U40" s="86"/>
      <c r="V40" s="86"/>
      <c r="W40" s="86"/>
      <c r="X40" s="85"/>
      <c r="Y40" s="86" t="s">
        <v>66</v>
      </c>
      <c r="Z40" s="86">
        <v>1</v>
      </c>
      <c r="AA40" s="85" t="s">
        <v>65</v>
      </c>
      <c r="AB40" s="87">
        <f>SUMPRODUCT($J$4:$J$32,POWER($E$4:$E$32,2))</f>
        <v>313.48502697005398</v>
      </c>
      <c r="AC40" s="85" t="s">
        <v>64</v>
      </c>
      <c r="AD40" s="87">
        <f>SUMPRODUCT($J$4:$J$32*POWER($F$4:$F$32,2))</f>
        <v>112.995225990452</v>
      </c>
      <c r="AE40" s="85" t="s">
        <v>63</v>
      </c>
      <c r="AF40" s="87">
        <f>SUMPRODUCT($H$4:$H$32,POWER($G$4:$G$32,2))</f>
        <v>0</v>
      </c>
      <c r="AG40" s="82"/>
      <c r="AH40" s="82"/>
      <c r="AI40" s="82"/>
      <c r="AJ40" s="82"/>
      <c r="AK40" s="88"/>
      <c r="AL40" s="82"/>
      <c r="AM40" s="82"/>
      <c r="AN40" s="82"/>
      <c r="AO40" s="82"/>
      <c r="AP40" s="82"/>
      <c r="AQ40" s="82"/>
      <c r="AR40" s="82"/>
      <c r="AS40" s="82"/>
      <c r="AT40" s="82"/>
      <c r="AU40" s="82"/>
    </row>
    <row r="41" spans="3:47" s="61" customFormat="1">
      <c r="C41" s="86" t="s">
        <v>62</v>
      </c>
      <c r="D41" s="89">
        <v>4</v>
      </c>
      <c r="E41" s="90">
        <f>(AF45-($F$7-AD43)*AF51+($G$7-AF42)*AF50)*$H$7</f>
        <v>0</v>
      </c>
      <c r="F41" s="90">
        <f>(AF46+($E$7-AB43)*AF51-($G$7-AF43)*AF49)*$I$7</f>
        <v>0</v>
      </c>
      <c r="G41" s="90">
        <f>(AF47-($E$7-AB42)*AF50+($F$7-AD42)*AF49)*$J$7</f>
        <v>544.97377358490576</v>
      </c>
      <c r="H41" s="91"/>
      <c r="I41" s="92">
        <f t="shared" si="0"/>
        <v>0</v>
      </c>
      <c r="J41" s="92">
        <f t="shared" si="1"/>
        <v>544.97377358490576</v>
      </c>
      <c r="K41" s="92">
        <f t="shared" si="2"/>
        <v>544.97377358490576</v>
      </c>
      <c r="L41" s="82"/>
      <c r="M41" s="86">
        <v>4</v>
      </c>
      <c r="N41" s="86"/>
      <c r="O41" s="86"/>
      <c r="P41" s="86"/>
      <c r="Q41" s="86"/>
      <c r="R41" s="86"/>
      <c r="S41" s="86"/>
      <c r="T41" s="88"/>
      <c r="U41" s="86"/>
      <c r="V41" s="86"/>
      <c r="W41" s="86"/>
      <c r="X41" s="85"/>
      <c r="Y41" s="86" t="s">
        <v>61</v>
      </c>
      <c r="Z41" s="86">
        <v>1</v>
      </c>
      <c r="AA41" s="85" t="s">
        <v>60</v>
      </c>
      <c r="AB41" s="87">
        <f>SUMPRODUCT($I$4:$I$32,POWER($E$4:$E$32,2))</f>
        <v>313.48502697005398</v>
      </c>
      <c r="AC41" s="85" t="s">
        <v>59</v>
      </c>
      <c r="AD41" s="87">
        <f>SUMPRODUCT($H$4:$H$32,POWER($F$4:$F$32,2))</f>
        <v>112.995225990452</v>
      </c>
      <c r="AE41" s="85" t="s">
        <v>58</v>
      </c>
      <c r="AF41" s="87">
        <f>SUMPRODUCT($I$4:$I$32,POWER($G$4:$G$32,2))</f>
        <v>0</v>
      </c>
      <c r="AG41" s="82"/>
      <c r="AH41" s="82"/>
      <c r="AI41" s="82"/>
      <c r="AJ41" s="82"/>
      <c r="AK41" s="88"/>
      <c r="AL41" s="82"/>
      <c r="AM41" s="82"/>
      <c r="AN41" s="82"/>
      <c r="AO41" s="82"/>
      <c r="AP41" s="82"/>
      <c r="AQ41" s="82"/>
      <c r="AR41" s="82"/>
      <c r="AS41" s="82"/>
      <c r="AT41" s="82"/>
      <c r="AU41" s="82"/>
    </row>
    <row r="42" spans="3:47" s="61" customFormat="1">
      <c r="C42" s="86" t="s">
        <v>57</v>
      </c>
      <c r="D42" s="89">
        <v>5</v>
      </c>
      <c r="E42" s="90">
        <f>(AF45-($F$8-AD43)*AF51+($G$8-AF42)*AF50)*$H$8</f>
        <v>0</v>
      </c>
      <c r="F42" s="90">
        <f>(AF46+($E$8-AB43)*AF51-($G$8-AF43)*AF49)*$I$8</f>
        <v>0</v>
      </c>
      <c r="G42" s="90">
        <f>(AF47-($E$8-AB42)*AF50+($F$8-AD42)*AF49)*$J$8</f>
        <v>0</v>
      </c>
      <c r="H42" s="91"/>
      <c r="I42" s="92">
        <f t="shared" si="0"/>
        <v>0</v>
      </c>
      <c r="J42" s="92">
        <f t="shared" si="1"/>
        <v>0</v>
      </c>
      <c r="K42" s="92">
        <f t="shared" si="2"/>
        <v>0</v>
      </c>
      <c r="L42" s="82"/>
      <c r="M42" s="86">
        <v>5</v>
      </c>
      <c r="N42" s="86"/>
      <c r="O42" s="86"/>
      <c r="P42" s="86"/>
      <c r="Q42" s="86"/>
      <c r="R42" s="86"/>
      <c r="S42" s="86"/>
      <c r="T42" s="88"/>
      <c r="U42" s="86"/>
      <c r="V42" s="86"/>
      <c r="W42" s="86"/>
      <c r="X42" s="85"/>
      <c r="Y42" s="86" t="s">
        <v>56</v>
      </c>
      <c r="Z42" s="86">
        <v>0</v>
      </c>
      <c r="AA42" s="85" t="s">
        <v>55</v>
      </c>
      <c r="AB42" s="87">
        <f>IF(Z47=0,0,AB38/Z47)</f>
        <v>6.2598425196850398</v>
      </c>
      <c r="AC42" s="85" t="s">
        <v>54</v>
      </c>
      <c r="AD42" s="87">
        <f>IF(Z47=0,0,AD38/Z47)</f>
        <v>0</v>
      </c>
      <c r="AE42" s="85" t="s">
        <v>53</v>
      </c>
      <c r="AF42" s="87">
        <f>IF(Z45=0,0,AF38/Z45)</f>
        <v>0</v>
      </c>
      <c r="AG42" s="82"/>
      <c r="AH42" s="82"/>
      <c r="AI42" s="82"/>
      <c r="AJ42" s="82"/>
      <c r="AK42" s="88"/>
      <c r="AL42" s="82"/>
      <c r="AM42" s="82"/>
      <c r="AN42" s="82"/>
      <c r="AO42" s="82"/>
      <c r="AP42" s="82"/>
      <c r="AQ42" s="82"/>
      <c r="AR42" s="82"/>
      <c r="AS42" s="82"/>
      <c r="AT42" s="82"/>
      <c r="AU42" s="82"/>
    </row>
    <row r="43" spans="3:47" s="61" customFormat="1">
      <c r="C43" s="86" t="s">
        <v>52</v>
      </c>
      <c r="D43" s="89">
        <v>6</v>
      </c>
      <c r="E43" s="90">
        <f>(AF45-($F$9-AD43)*AF51+($G$9-AF42)*AF50)*$H$9</f>
        <v>0</v>
      </c>
      <c r="F43" s="90">
        <f>(AF46+($E$9-AB43)*AF51-($G$9-AF43)*AF49)*$I$9</f>
        <v>0</v>
      </c>
      <c r="G43" s="90">
        <f>(AF47-($E$9-AB42)*AF50+($F$9-AD42)*AF49)*$J$9</f>
        <v>0</v>
      </c>
      <c r="H43" s="91"/>
      <c r="I43" s="92">
        <f t="shared" si="0"/>
        <v>0</v>
      </c>
      <c r="J43" s="92">
        <f t="shared" si="1"/>
        <v>0</v>
      </c>
      <c r="K43" s="92">
        <f t="shared" si="2"/>
        <v>0</v>
      </c>
      <c r="L43" s="82"/>
      <c r="M43" s="86">
        <v>6</v>
      </c>
      <c r="N43" s="86"/>
      <c r="O43" s="86"/>
      <c r="P43" s="86"/>
      <c r="Q43" s="86"/>
      <c r="R43" s="86"/>
      <c r="S43" s="86"/>
      <c r="T43" s="88"/>
      <c r="U43" s="86"/>
      <c r="V43" s="86"/>
      <c r="W43" s="86"/>
      <c r="X43" s="85"/>
      <c r="Y43" s="86" t="s">
        <v>12</v>
      </c>
      <c r="Z43" s="86"/>
      <c r="AA43" s="85" t="s">
        <v>51</v>
      </c>
      <c r="AB43" s="87">
        <f>IF(Z46=0,0,AB39/Z46)</f>
        <v>6.2598425196850398</v>
      </c>
      <c r="AC43" s="85" t="s">
        <v>50</v>
      </c>
      <c r="AD43" s="87">
        <f>IF(Z45=0,0,AD39/Z45)</f>
        <v>0</v>
      </c>
      <c r="AE43" s="85" t="s">
        <v>49</v>
      </c>
      <c r="AF43" s="87">
        <f>IF(Z46=0,0,AF39/Z46)</f>
        <v>0</v>
      </c>
      <c r="AG43" s="82"/>
      <c r="AH43" s="82"/>
      <c r="AI43" s="82"/>
      <c r="AJ43" s="82"/>
      <c r="AK43" s="88"/>
      <c r="AL43" s="82"/>
      <c r="AM43" s="82"/>
      <c r="AN43" s="82"/>
      <c r="AO43" s="82"/>
      <c r="AP43" s="82"/>
      <c r="AQ43" s="82"/>
      <c r="AR43" s="82"/>
      <c r="AS43" s="82"/>
      <c r="AT43" s="82"/>
      <c r="AU43" s="82"/>
    </row>
    <row r="44" spans="3:47" s="61" customFormat="1">
      <c r="C44" s="86" t="s">
        <v>48</v>
      </c>
      <c r="D44" s="89">
        <v>7</v>
      </c>
      <c r="E44" s="90">
        <f>(AF45-($F$10-AD43)*AF51+($G$10-AF42)*AF50)*$H$10</f>
        <v>0</v>
      </c>
      <c r="F44" s="90">
        <f>(AF46+($E$10-AB43)*AF51-($G$10-AF43)*AF49)*$I$10</f>
        <v>0</v>
      </c>
      <c r="G44" s="90">
        <f>(AF47-($E$10-AB42)*AF50+($F$10-AD42)*AF49)*$J$10</f>
        <v>0</v>
      </c>
      <c r="H44" s="91"/>
      <c r="I44" s="92">
        <f t="shared" si="0"/>
        <v>0</v>
      </c>
      <c r="J44" s="92">
        <f t="shared" si="1"/>
        <v>0</v>
      </c>
      <c r="K44" s="92">
        <f t="shared" si="2"/>
        <v>0</v>
      </c>
      <c r="L44" s="82"/>
      <c r="M44" s="86">
        <v>7</v>
      </c>
      <c r="N44" s="86"/>
      <c r="O44" s="86"/>
      <c r="P44" s="86"/>
      <c r="Q44" s="86"/>
      <c r="R44" s="86"/>
      <c r="S44" s="86"/>
      <c r="T44" s="88"/>
      <c r="U44" s="86"/>
      <c r="V44" s="86"/>
      <c r="W44" s="86"/>
      <c r="X44" s="85"/>
      <c r="Y44" s="86" t="s">
        <v>47</v>
      </c>
      <c r="Z44" s="86"/>
      <c r="AA44" s="82"/>
      <c r="AB44" s="82"/>
      <c r="AC44" s="82"/>
      <c r="AD44" s="82"/>
      <c r="AE44" s="82"/>
      <c r="AF44" s="82"/>
      <c r="AG44" s="82"/>
      <c r="AH44" s="82"/>
      <c r="AI44" s="82"/>
      <c r="AJ44" s="82"/>
      <c r="AK44" s="88"/>
      <c r="AL44" s="82"/>
      <c r="AM44" s="82"/>
      <c r="AN44" s="82"/>
      <c r="AO44" s="82"/>
      <c r="AP44" s="82"/>
      <c r="AQ44" s="82"/>
      <c r="AR44" s="82"/>
      <c r="AS44" s="82"/>
      <c r="AT44" s="82"/>
      <c r="AU44" s="82"/>
    </row>
    <row r="45" spans="3:47" s="61" customFormat="1">
      <c r="C45" s="86" t="s">
        <v>46</v>
      </c>
      <c r="D45" s="89">
        <v>8</v>
      </c>
      <c r="E45" s="90">
        <f>(AF45-($F$11-AD43)*AF51+($G$11-AF42)*AF50)*$H$11</f>
        <v>0</v>
      </c>
      <c r="F45" s="90">
        <f>(AF46+($E$11-AB43)*AF51-($G$11-AF43)*AF49)*$I$11</f>
        <v>0</v>
      </c>
      <c r="G45" s="90">
        <f>(AF47-($E$11-AB42)*AF50+($F$11-AD42)*AF49)*$J$11</f>
        <v>0</v>
      </c>
      <c r="H45" s="91"/>
      <c r="I45" s="92">
        <f t="shared" si="0"/>
        <v>0</v>
      </c>
      <c r="J45" s="92">
        <f t="shared" si="1"/>
        <v>0</v>
      </c>
      <c r="K45" s="92">
        <f t="shared" si="2"/>
        <v>0</v>
      </c>
      <c r="L45" s="82"/>
      <c r="M45" s="86">
        <v>8</v>
      </c>
      <c r="N45" s="86"/>
      <c r="O45" s="86"/>
      <c r="P45" s="86"/>
      <c r="Q45" s="86"/>
      <c r="R45" s="86"/>
      <c r="S45" s="86"/>
      <c r="T45" s="88"/>
      <c r="U45" s="86"/>
      <c r="V45" s="86"/>
      <c r="W45" s="86"/>
      <c r="X45" s="85"/>
      <c r="Y45" s="86" t="s">
        <v>45</v>
      </c>
      <c r="Z45" s="86">
        <f>SUM($H$4:$H$32)</f>
        <v>4</v>
      </c>
      <c r="AA45" s="85" t="s">
        <v>44</v>
      </c>
      <c r="AB45" s="96">
        <f>SUM(Q38:Q62)</f>
        <v>0</v>
      </c>
      <c r="AC45" s="85" t="s">
        <v>43</v>
      </c>
      <c r="AD45" s="85">
        <f>SUM(U38:U62,SUMPRODUCT(S38:S62,(O38:O62-AD42)),-SUMPRODUCT(R38:R62,(P38:P62-AF43)))</f>
        <v>0</v>
      </c>
      <c r="AE45" s="82" t="s">
        <v>42</v>
      </c>
      <c r="AF45" s="82">
        <f>IF(Z45=0,0,AB45/Z45)</f>
        <v>0</v>
      </c>
      <c r="AG45" s="82"/>
      <c r="AH45" s="82"/>
      <c r="AI45" s="82"/>
      <c r="AJ45" s="82"/>
      <c r="AK45" s="88"/>
      <c r="AL45" s="82"/>
      <c r="AM45" s="82"/>
      <c r="AN45" s="82"/>
      <c r="AO45" s="82"/>
      <c r="AP45" s="82"/>
      <c r="AQ45" s="82"/>
      <c r="AR45" s="82"/>
      <c r="AS45" s="82"/>
      <c r="AT45" s="82"/>
      <c r="AU45" s="82"/>
    </row>
    <row r="46" spans="3:47" s="61" customFormat="1">
      <c r="C46" s="86" t="s">
        <v>41</v>
      </c>
      <c r="D46" s="89">
        <v>9</v>
      </c>
      <c r="E46" s="90">
        <f>(AF45-($F$12-AD43)*AF51+($G$12-AF42)*AF50)*$H$12</f>
        <v>0</v>
      </c>
      <c r="F46" s="90">
        <f>(AF46+($E$12-AB43)*AF51-($G$12-AF43)*AF49)*$I$12</f>
        <v>0</v>
      </c>
      <c r="G46" s="90">
        <f>(AF47-($E$12-AB42)*AF50+($F$12-AD42)*AF49)*$J$12</f>
        <v>0</v>
      </c>
      <c r="H46" s="91"/>
      <c r="I46" s="92">
        <f t="shared" si="0"/>
        <v>0</v>
      </c>
      <c r="J46" s="92">
        <f t="shared" si="1"/>
        <v>0</v>
      </c>
      <c r="K46" s="92">
        <f t="shared" si="2"/>
        <v>0</v>
      </c>
      <c r="L46" s="82"/>
      <c r="M46" s="86">
        <v>9</v>
      </c>
      <c r="N46" s="86"/>
      <c r="O46" s="86"/>
      <c r="P46" s="86"/>
      <c r="Q46" s="86"/>
      <c r="R46" s="86"/>
      <c r="S46" s="86"/>
      <c r="T46" s="88"/>
      <c r="U46" s="86"/>
      <c r="V46" s="86"/>
      <c r="W46" s="86"/>
      <c r="X46" s="85"/>
      <c r="Y46" s="86" t="s">
        <v>40</v>
      </c>
      <c r="Z46" s="86">
        <f>SUM($I$4:$I$32)</f>
        <v>4</v>
      </c>
      <c r="AA46" s="85" t="s">
        <v>39</v>
      </c>
      <c r="AB46" s="85">
        <f>SUM(R38:R62)</f>
        <v>0</v>
      </c>
      <c r="AC46" s="85" t="s">
        <v>38</v>
      </c>
      <c r="AD46" s="85">
        <f>SUM(V38:V62,SUMPRODUCT(Q38:Q62,(P38:P62-AF42)),-SUMPRODUCT(S38:S62,(N38:N62-AB42)))</f>
        <v>-6527.4200787401578</v>
      </c>
      <c r="AE46" s="82" t="s">
        <v>37</v>
      </c>
      <c r="AF46" s="82">
        <f>IF(Z46=0,0,AB46/Z46)</f>
        <v>0</v>
      </c>
      <c r="AG46" s="82"/>
      <c r="AH46" s="82"/>
      <c r="AI46" s="82"/>
      <c r="AJ46" s="82"/>
      <c r="AK46" s="88"/>
      <c r="AL46" s="82"/>
      <c r="AM46" s="82"/>
      <c r="AN46" s="82"/>
      <c r="AO46" s="82"/>
      <c r="AP46" s="82"/>
      <c r="AQ46" s="82"/>
      <c r="AR46" s="82"/>
      <c r="AS46" s="82"/>
      <c r="AT46" s="82"/>
      <c r="AU46" s="82"/>
    </row>
    <row r="47" spans="3:47" s="61" customFormat="1">
      <c r="C47" s="86"/>
      <c r="D47" s="89">
        <v>10</v>
      </c>
      <c r="E47" s="90">
        <f>(AF45-($F$13-AD43)*AF51+($G$13-AF42)*AF50)*$H$13</f>
        <v>0</v>
      </c>
      <c r="F47" s="90">
        <f>(AF46+($E$13-AB43)*AF51-($G$13-AF43)*AF49)*$I$13</f>
        <v>0</v>
      </c>
      <c r="G47" s="90">
        <f>(AF47-($E$13-AB42)*AF50+($F$13-AD42)*AF49)*$J$13</f>
        <v>0</v>
      </c>
      <c r="H47" s="91"/>
      <c r="I47" s="92">
        <f t="shared" si="0"/>
        <v>0</v>
      </c>
      <c r="J47" s="92">
        <f t="shared" si="1"/>
        <v>0</v>
      </c>
      <c r="K47" s="92">
        <f t="shared" si="2"/>
        <v>0</v>
      </c>
      <c r="L47" s="82"/>
      <c r="M47" s="86">
        <v>10</v>
      </c>
      <c r="N47" s="86"/>
      <c r="O47" s="86"/>
      <c r="P47" s="86"/>
      <c r="Q47" s="86"/>
      <c r="R47" s="86"/>
      <c r="S47" s="86"/>
      <c r="T47" s="88"/>
      <c r="U47" s="86"/>
      <c r="V47" s="86"/>
      <c r="W47" s="86"/>
      <c r="X47" s="85"/>
      <c r="Y47" s="86" t="s">
        <v>36</v>
      </c>
      <c r="Z47" s="86">
        <f>SUM($J$4:$J$32)</f>
        <v>4</v>
      </c>
      <c r="AA47" s="85" t="s">
        <v>35</v>
      </c>
      <c r="AB47" s="85">
        <f>SUM(S38:S62)</f>
        <v>1137.1500000000001</v>
      </c>
      <c r="AC47" s="85" t="s">
        <v>34</v>
      </c>
      <c r="AD47" s="85">
        <f>SUM(W38:W62,SUMPRODUCT(R38:R62,(N38:N62-AB43)),-SUMPRODUCT(Q38:Q62,(O38:O62-AD43)))</f>
        <v>0</v>
      </c>
      <c r="AE47" s="82" t="s">
        <v>33</v>
      </c>
      <c r="AF47" s="82">
        <f>IF(Z47=0,0,AB47/Z47)</f>
        <v>284.28750000000002</v>
      </c>
      <c r="AG47" s="82"/>
      <c r="AH47" s="82"/>
      <c r="AI47" s="82"/>
      <c r="AJ47" s="82"/>
      <c r="AK47" s="88"/>
      <c r="AL47" s="82"/>
      <c r="AM47" s="82"/>
      <c r="AN47" s="82"/>
      <c r="AO47" s="82"/>
      <c r="AP47" s="82"/>
      <c r="AQ47" s="82"/>
      <c r="AR47" s="82"/>
      <c r="AS47" s="82"/>
      <c r="AT47" s="82"/>
      <c r="AU47" s="82"/>
    </row>
    <row r="48" spans="3:47" s="61" customFormat="1">
      <c r="C48" s="86"/>
      <c r="D48" s="89">
        <v>11</v>
      </c>
      <c r="E48" s="90">
        <f>(AF45-($F$14-AD43)*AF51+($G$14-AF42)*AF50)*$H$14</f>
        <v>0</v>
      </c>
      <c r="F48" s="90">
        <f>(AF46+($E$14-AB43)*AF51-($G$14-AF43)*AF49)*$I$14</f>
        <v>0</v>
      </c>
      <c r="G48" s="90">
        <f>(AF47-($E$14-AB42)*AF50+($F$14-AD42)*AF49)*$J$14</f>
        <v>0</v>
      </c>
      <c r="H48" s="91"/>
      <c r="I48" s="92">
        <f t="shared" si="0"/>
        <v>0</v>
      </c>
      <c r="J48" s="92">
        <f t="shared" si="1"/>
        <v>0</v>
      </c>
      <c r="K48" s="92">
        <f t="shared" si="2"/>
        <v>0</v>
      </c>
      <c r="L48" s="82"/>
      <c r="M48" s="86">
        <v>11</v>
      </c>
      <c r="N48" s="86"/>
      <c r="O48" s="86"/>
      <c r="P48" s="86"/>
      <c r="Q48" s="86"/>
      <c r="R48" s="86"/>
      <c r="S48" s="86"/>
      <c r="T48" s="88"/>
      <c r="U48" s="86"/>
      <c r="V48" s="86"/>
      <c r="W48" s="86"/>
      <c r="X48" s="85"/>
      <c r="Y48" s="82"/>
      <c r="Z48" s="82"/>
      <c r="AA48" s="82"/>
      <c r="AB48" s="82"/>
      <c r="AC48" s="82"/>
      <c r="AD48" s="82"/>
      <c r="AE48" s="82"/>
      <c r="AF48" s="82"/>
      <c r="AG48" s="82"/>
      <c r="AH48" s="82"/>
      <c r="AI48" s="82"/>
      <c r="AJ48" s="82"/>
      <c r="AK48" s="88"/>
      <c r="AL48" s="82"/>
      <c r="AM48" s="82"/>
      <c r="AN48" s="82"/>
      <c r="AO48" s="82"/>
      <c r="AP48" s="82"/>
      <c r="AQ48" s="82"/>
      <c r="AR48" s="82"/>
      <c r="AS48" s="82"/>
      <c r="AT48" s="82"/>
      <c r="AU48" s="82"/>
    </row>
    <row r="49" spans="3:47" s="61" customFormat="1">
      <c r="C49" s="86"/>
      <c r="D49" s="89">
        <v>12</v>
      </c>
      <c r="E49" s="97">
        <f>(AF45-($F$15-AD43)*AF51+($G$15-AF42)*AF50)*$H$15</f>
        <v>0</v>
      </c>
      <c r="F49" s="97">
        <f>(AF46+($E$15-AB43)*AF51-($G$15-AF43)*AF49)*$I$15</f>
        <v>0</v>
      </c>
      <c r="G49" s="97">
        <f>(AF47-($E$15-AB42)*AF50+($F$15-AD42)*AF49)*$J$15</f>
        <v>0</v>
      </c>
      <c r="H49" s="82"/>
      <c r="I49" s="92">
        <f t="shared" si="0"/>
        <v>0</v>
      </c>
      <c r="J49" s="92">
        <f t="shared" si="1"/>
        <v>0</v>
      </c>
      <c r="K49" s="92">
        <f t="shared" si="2"/>
        <v>0</v>
      </c>
      <c r="L49" s="82"/>
      <c r="M49" s="86">
        <v>12</v>
      </c>
      <c r="N49" s="86"/>
      <c r="O49" s="86"/>
      <c r="P49" s="86"/>
      <c r="Q49" s="86"/>
      <c r="R49" s="86"/>
      <c r="S49" s="86"/>
      <c r="T49" s="88"/>
      <c r="U49" s="86"/>
      <c r="V49" s="86"/>
      <c r="W49" s="86"/>
      <c r="X49" s="85"/>
      <c r="Y49" s="98">
        <v>1</v>
      </c>
      <c r="Z49" s="99">
        <f>AF41+AD40-Z47*AD42^2-Z46*AF43^2</f>
        <v>112.995225990452</v>
      </c>
      <c r="AA49" s="100">
        <v>1</v>
      </c>
      <c r="AB49" s="82">
        <f>Z51*Z50^2-Z50*Z53^2</f>
        <v>6626974.9209806556</v>
      </c>
      <c r="AC49" s="101">
        <v>1</v>
      </c>
      <c r="AD49" s="82">
        <f>Z51*Z50-Z53^2</f>
        <v>42279.371267155962</v>
      </c>
      <c r="AE49" s="102">
        <v>1</v>
      </c>
      <c r="AF49" s="82">
        <f>IF(Z49=0,0,IF(Z50=0,AD45/Z51,IF(Z51=0,AD45/Z50,(AD45*AB49+AD46*AB50+AD47*AB51)/(AD49*AD50-AD51))))</f>
        <v>0</v>
      </c>
      <c r="AG49" s="82"/>
      <c r="AH49" s="82"/>
      <c r="AI49" s="82"/>
      <c r="AJ49" s="82"/>
      <c r="AK49" s="88"/>
      <c r="AL49" s="82"/>
      <c r="AM49" s="82"/>
      <c r="AN49" s="82"/>
      <c r="AO49" s="82"/>
      <c r="AP49" s="82"/>
      <c r="AQ49" s="82"/>
      <c r="AR49" s="82"/>
      <c r="AS49" s="82"/>
      <c r="AT49" s="82"/>
      <c r="AU49" s="82"/>
    </row>
    <row r="50" spans="3:47" s="61" customFormat="1">
      <c r="C50" s="86"/>
      <c r="D50" s="89">
        <v>13</v>
      </c>
      <c r="E50" s="97">
        <f>(AF45-($F$16-AD43)*AF51+($G$16-AF42)*AF50)*$H$16</f>
        <v>0</v>
      </c>
      <c r="F50" s="97">
        <f>(AF46+($E$16-AB43)*AF51-($G$16-AF43)*AF49)*$I$16</f>
        <v>0</v>
      </c>
      <c r="G50" s="97">
        <f>(AF47-($E$16-AB42)*AF50+($F$16-AD42)*AF49)*$J$16</f>
        <v>0</v>
      </c>
      <c r="H50" s="82"/>
      <c r="I50" s="92">
        <f t="shared" si="0"/>
        <v>0</v>
      </c>
      <c r="J50" s="92">
        <f t="shared" si="1"/>
        <v>0</v>
      </c>
      <c r="K50" s="92">
        <f t="shared" si="2"/>
        <v>0</v>
      </c>
      <c r="L50" s="82"/>
      <c r="M50" s="86">
        <v>13</v>
      </c>
      <c r="N50" s="86"/>
      <c r="O50" s="86"/>
      <c r="P50" s="86"/>
      <c r="Q50" s="86"/>
      <c r="R50" s="86"/>
      <c r="S50" s="86"/>
      <c r="T50" s="88"/>
      <c r="U50" s="86"/>
      <c r="V50" s="86"/>
      <c r="W50" s="86"/>
      <c r="X50" s="85"/>
      <c r="Y50" s="98">
        <v>2</v>
      </c>
      <c r="Z50" s="99">
        <f>AF40+AB40-Z47*AB42^2-Z45*AF42^2</f>
        <v>156.74251348502699</v>
      </c>
      <c r="AA50" s="100">
        <v>2</v>
      </c>
      <c r="AB50" s="103">
        <f>Z50*Z51*Z52+Z50*Z53*Z54</f>
        <v>0</v>
      </c>
      <c r="AC50" s="101">
        <v>2</v>
      </c>
      <c r="AD50" s="82">
        <f>Z49*Z50-Z52^2</f>
        <v>17711.155733552096</v>
      </c>
      <c r="AE50" s="102">
        <v>2</v>
      </c>
      <c r="AF50" s="82">
        <f>IF(Z49=0,AD46/Z51,IF(Z50=0,0,IF(Z51=0,AD46/Z49,(AD46*AB52+AD45*AB53+AD47*AB54)/(AD52*AD50-AD54))))</f>
        <v>-41.644222321110718</v>
      </c>
      <c r="AG50" s="82"/>
      <c r="AH50" s="82"/>
      <c r="AI50" s="82"/>
      <c r="AJ50" s="82"/>
      <c r="AK50" s="88"/>
      <c r="AL50" s="82"/>
      <c r="AM50" s="82"/>
      <c r="AN50" s="82"/>
      <c r="AO50" s="82"/>
      <c r="AP50" s="82"/>
      <c r="AQ50" s="82"/>
      <c r="AR50" s="82"/>
      <c r="AS50" s="82"/>
      <c r="AT50" s="82"/>
      <c r="AU50" s="82"/>
    </row>
    <row r="51" spans="3:47" s="61" customFormat="1">
      <c r="C51" s="86"/>
      <c r="D51" s="89">
        <v>14</v>
      </c>
      <c r="E51" s="97">
        <f>(AF45-($F$17-AD43)*AF51+($G$17-AF42)*AF50)*$H$17</f>
        <v>0</v>
      </c>
      <c r="F51" s="97">
        <f>(AF46+($E$17-AB43)*AF51-($G$17-AF43)*AF49)*$I$17</f>
        <v>0</v>
      </c>
      <c r="G51" s="97">
        <f>(AF47-($E$17-AB42)*AF50+($F$17-AD42)*AF49)*$J$17</f>
        <v>0</v>
      </c>
      <c r="H51" s="82"/>
      <c r="I51" s="92">
        <f t="shared" si="0"/>
        <v>0</v>
      </c>
      <c r="J51" s="92">
        <f t="shared" si="1"/>
        <v>0</v>
      </c>
      <c r="K51" s="92">
        <f t="shared" si="2"/>
        <v>0</v>
      </c>
      <c r="L51" s="82"/>
      <c r="M51" s="86">
        <v>14</v>
      </c>
      <c r="N51" s="86"/>
      <c r="O51" s="86"/>
      <c r="P51" s="86"/>
      <c r="Q51" s="86"/>
      <c r="R51" s="86"/>
      <c r="S51" s="86"/>
      <c r="T51" s="88"/>
      <c r="U51" s="86"/>
      <c r="V51" s="86"/>
      <c r="W51" s="86"/>
      <c r="X51" s="85"/>
      <c r="Y51" s="98">
        <v>3</v>
      </c>
      <c r="Z51" s="99">
        <f>AD41+AB41-Z46*AB43^2-Z45*AD43^2</f>
        <v>269.73773947547897</v>
      </c>
      <c r="AA51" s="100">
        <v>3</v>
      </c>
      <c r="AB51" s="82">
        <f>Z54*Z50^2+Z50*Z52*Z53</f>
        <v>0</v>
      </c>
      <c r="AC51" s="101">
        <v>3</v>
      </c>
      <c r="AD51" s="82">
        <f>(Z50*Z54+Z52*Z53)^2</f>
        <v>0</v>
      </c>
      <c r="AE51" s="102">
        <v>3</v>
      </c>
      <c r="AF51" s="99">
        <f>IF(Z49=0,AD47/Z50,IF(Z50=0,AD47/Z49,IF(Z51=0,0,(AD47*AB55+AD45*AB56+AD46*AB54)/(AD50*AD52-AD54))))</f>
        <v>0</v>
      </c>
      <c r="AG51" s="82"/>
      <c r="AH51" s="82"/>
      <c r="AI51" s="82"/>
      <c r="AJ51" s="82"/>
      <c r="AK51" s="82"/>
      <c r="AL51" s="82"/>
      <c r="AM51" s="82"/>
      <c r="AN51" s="82"/>
      <c r="AO51" s="82"/>
      <c r="AP51" s="82"/>
      <c r="AQ51" s="82"/>
      <c r="AR51" s="82"/>
      <c r="AS51" s="82"/>
      <c r="AT51" s="82"/>
      <c r="AU51" s="82"/>
    </row>
    <row r="52" spans="3:47" s="61" customFormat="1">
      <c r="C52" s="86"/>
      <c r="D52" s="89">
        <v>15</v>
      </c>
      <c r="E52" s="97">
        <f>(AF45-($F$18-AD43)*AF51+($G$18-AF42)*AF50)*$H$18</f>
        <v>0</v>
      </c>
      <c r="F52" s="97">
        <f>(AF46+($E$18-AB43)*AF51-($G$18-AF43)*AF49)*$I$18</f>
        <v>0</v>
      </c>
      <c r="G52" s="97">
        <f>(AF47-($E$18-AB42)*AF50+($F$18-AD42)*AF49)*$J$18</f>
        <v>0</v>
      </c>
      <c r="H52" s="82"/>
      <c r="I52" s="92">
        <f t="shared" si="0"/>
        <v>0</v>
      </c>
      <c r="J52" s="92">
        <f t="shared" si="1"/>
        <v>0</v>
      </c>
      <c r="K52" s="92">
        <f t="shared" si="2"/>
        <v>0</v>
      </c>
      <c r="L52" s="82"/>
      <c r="M52" s="86">
        <v>15</v>
      </c>
      <c r="N52" s="86"/>
      <c r="O52" s="86"/>
      <c r="P52" s="86"/>
      <c r="Q52" s="86"/>
      <c r="R52" s="86"/>
      <c r="S52" s="86"/>
      <c r="T52" s="88"/>
      <c r="U52" s="86"/>
      <c r="V52" s="86"/>
      <c r="W52" s="86"/>
      <c r="X52" s="85"/>
      <c r="Y52" s="98">
        <v>4</v>
      </c>
      <c r="Z52" s="99">
        <f>AB37-AD42*AB42*Z47</f>
        <v>0</v>
      </c>
      <c r="AA52" s="100">
        <v>4</v>
      </c>
      <c r="AB52" s="82">
        <f>Z51*Z49^2-Z49*Z54^2</f>
        <v>3443990.1744071501</v>
      </c>
      <c r="AC52" s="101">
        <v>4</v>
      </c>
      <c r="AD52" s="82">
        <f>Z51*Z49-Z54^2</f>
        <v>30479.076830185411</v>
      </c>
      <c r="AE52" s="82"/>
      <c r="AF52" s="82"/>
      <c r="AG52" s="82"/>
      <c r="AH52" s="82"/>
      <c r="AI52" s="82"/>
      <c r="AJ52" s="82"/>
      <c r="AK52" s="82"/>
      <c r="AL52" s="82"/>
      <c r="AM52" s="82"/>
      <c r="AN52" s="82"/>
      <c r="AO52" s="82"/>
      <c r="AP52" s="82"/>
      <c r="AQ52" s="82"/>
      <c r="AR52" s="82"/>
      <c r="AS52" s="82"/>
      <c r="AT52" s="82"/>
      <c r="AU52" s="82"/>
    </row>
    <row r="53" spans="3:47" s="61" customFormat="1">
      <c r="C53" s="86"/>
      <c r="D53" s="104">
        <v>16</v>
      </c>
      <c r="E53" s="97">
        <f>(AF45-($F$19-AD43)*AF51+($G$19-AF42)*AF50)*$H$19</f>
        <v>0</v>
      </c>
      <c r="F53" s="97">
        <f>(AF46+($E$19-AB43)*AF51-($G$19-AF43)*AF49)*$I$19</f>
        <v>0</v>
      </c>
      <c r="G53" s="97">
        <f>(AF47-($E$19-AB42)*AF50+($F$19-AD42)*AF49)*$J$19</f>
        <v>0</v>
      </c>
      <c r="H53" s="82"/>
      <c r="I53" s="92">
        <f t="shared" si="0"/>
        <v>0</v>
      </c>
      <c r="J53" s="92">
        <f t="shared" si="1"/>
        <v>0</v>
      </c>
      <c r="K53" s="92">
        <f t="shared" si="2"/>
        <v>0</v>
      </c>
      <c r="L53" s="82"/>
      <c r="M53" s="86">
        <v>16</v>
      </c>
      <c r="N53" s="86"/>
      <c r="O53" s="86"/>
      <c r="P53" s="86"/>
      <c r="Q53" s="86"/>
      <c r="R53" s="86"/>
      <c r="S53" s="86"/>
      <c r="T53" s="88"/>
      <c r="U53" s="86"/>
      <c r="V53" s="86"/>
      <c r="W53" s="86"/>
      <c r="X53" s="85"/>
      <c r="Y53" s="98">
        <v>5</v>
      </c>
      <c r="Z53" s="99">
        <f>AD37-AD43*AF42*Z45</f>
        <v>0</v>
      </c>
      <c r="AA53" s="100">
        <v>5</v>
      </c>
      <c r="AB53" s="82">
        <f>Z49*Z51*Z52+Z49*Z53*Z54</f>
        <v>0</v>
      </c>
      <c r="AC53" s="101"/>
      <c r="AD53" s="82"/>
      <c r="AE53" s="82"/>
      <c r="AF53" s="82"/>
      <c r="AG53" s="82"/>
      <c r="AH53" s="82"/>
      <c r="AI53" s="82"/>
      <c r="AJ53" s="82"/>
      <c r="AK53" s="82"/>
      <c r="AL53" s="82"/>
      <c r="AM53" s="82"/>
      <c r="AN53" s="82"/>
      <c r="AO53" s="82"/>
      <c r="AP53" s="82"/>
      <c r="AQ53" s="82"/>
      <c r="AR53" s="82"/>
      <c r="AS53" s="82"/>
      <c r="AT53" s="82"/>
      <c r="AU53" s="82"/>
    </row>
    <row r="54" spans="3:47" s="61" customFormat="1">
      <c r="C54" s="86"/>
      <c r="D54" s="104">
        <v>17</v>
      </c>
      <c r="E54" s="97">
        <f>(AF45-($F$20-AD43)*AF51+($G$20-AF42)*AF50)*$H$20</f>
        <v>0</v>
      </c>
      <c r="F54" s="97">
        <f>(AF46+($E$20-AB43)*AF51-($G$20-AF43)*AF49)*$I$20</f>
        <v>0</v>
      </c>
      <c r="G54" s="97">
        <f>(AF47-($E$20-AB42)*AF50+($F$20-AD42)*AF49)*$J$20</f>
        <v>0</v>
      </c>
      <c r="H54" s="82"/>
      <c r="I54" s="92">
        <f t="shared" si="0"/>
        <v>0</v>
      </c>
      <c r="J54" s="92">
        <f t="shared" si="1"/>
        <v>0</v>
      </c>
      <c r="K54" s="92">
        <f t="shared" si="2"/>
        <v>0</v>
      </c>
      <c r="L54" s="82"/>
      <c r="M54" s="86">
        <v>17</v>
      </c>
      <c r="N54" s="86"/>
      <c r="O54" s="86"/>
      <c r="P54" s="86"/>
      <c r="Q54" s="86"/>
      <c r="R54" s="86"/>
      <c r="S54" s="86"/>
      <c r="T54" s="88"/>
      <c r="U54" s="86"/>
      <c r="V54" s="86"/>
      <c r="W54" s="86"/>
      <c r="X54" s="85"/>
      <c r="Y54" s="98">
        <v>6</v>
      </c>
      <c r="Z54" s="99">
        <f>AF37-AB43*AF43*Z46</f>
        <v>0</v>
      </c>
      <c r="AA54" s="100">
        <v>6</v>
      </c>
      <c r="AB54" s="82">
        <f>Z53*Z49^2+Z49*Z52*Z54</f>
        <v>0</v>
      </c>
      <c r="AC54" s="101">
        <v>6</v>
      </c>
      <c r="AD54" s="82">
        <f>(Z49*Z53+Z52*Z54)^2</f>
        <v>0</v>
      </c>
      <c r="AE54" s="82"/>
      <c r="AF54" s="82"/>
      <c r="AG54" s="82"/>
      <c r="AH54" s="82"/>
      <c r="AI54" s="82"/>
      <c r="AJ54" s="82"/>
      <c r="AK54" s="82"/>
      <c r="AL54" s="82"/>
      <c r="AM54" s="82"/>
      <c r="AN54" s="82"/>
      <c r="AO54" s="82"/>
      <c r="AP54" s="82"/>
      <c r="AQ54" s="82"/>
      <c r="AR54" s="82"/>
      <c r="AS54" s="82"/>
      <c r="AT54" s="82"/>
      <c r="AU54" s="82"/>
    </row>
    <row r="55" spans="3:47" s="61" customFormat="1">
      <c r="C55" s="86"/>
      <c r="D55" s="104">
        <v>18</v>
      </c>
      <c r="E55" s="97">
        <f>(AF45-($F$21-AD43)*AF51+($G$21-AF42)*AF50)*$H$21</f>
        <v>0</v>
      </c>
      <c r="F55" s="97">
        <f>(AF46+($E$21-AB43)*AF51-($G$21-AF43)*AF49)*$I$21</f>
        <v>0</v>
      </c>
      <c r="G55" s="97">
        <f>(AF47-($E$21-AB42)*AF50+($F$21-AD42)*AF49)*$J$21</f>
        <v>0</v>
      </c>
      <c r="H55" s="82"/>
      <c r="I55" s="92">
        <f t="shared" si="0"/>
        <v>0</v>
      </c>
      <c r="J55" s="92">
        <f t="shared" si="1"/>
        <v>0</v>
      </c>
      <c r="K55" s="92">
        <f t="shared" si="2"/>
        <v>0</v>
      </c>
      <c r="L55" s="82"/>
      <c r="M55" s="86">
        <v>18</v>
      </c>
      <c r="N55" s="86"/>
      <c r="O55" s="86"/>
      <c r="P55" s="86"/>
      <c r="Q55" s="86"/>
      <c r="R55" s="86"/>
      <c r="S55" s="86"/>
      <c r="T55" s="88"/>
      <c r="U55" s="86"/>
      <c r="V55" s="86"/>
      <c r="W55" s="86"/>
      <c r="X55" s="85"/>
      <c r="Y55" s="98"/>
      <c r="Z55" s="82"/>
      <c r="AA55" s="100">
        <v>7</v>
      </c>
      <c r="AB55" s="82">
        <f>Z50*Z49^2-Z49*Z52^2</f>
        <v>2001276.0446648085</v>
      </c>
      <c r="AC55" s="82"/>
      <c r="AD55" s="82"/>
      <c r="AE55" s="82"/>
      <c r="AF55" s="82"/>
      <c r="AG55" s="82"/>
      <c r="AH55" s="82"/>
      <c r="AI55" s="82"/>
      <c r="AJ55" s="82"/>
      <c r="AK55" s="82"/>
      <c r="AL55" s="82"/>
      <c r="AM55" s="82"/>
      <c r="AN55" s="82"/>
      <c r="AO55" s="82"/>
      <c r="AP55" s="82"/>
      <c r="AQ55" s="82"/>
      <c r="AR55" s="82"/>
      <c r="AS55" s="82"/>
      <c r="AT55" s="82"/>
      <c r="AU55" s="82"/>
    </row>
    <row r="56" spans="3:47" s="61" customFormat="1">
      <c r="C56" s="86"/>
      <c r="D56" s="104">
        <v>19</v>
      </c>
      <c r="E56" s="97">
        <f>(AF45-($F$22-AD43)*AF51+($G$22-AF42)*AF50)*$H$22</f>
        <v>0</v>
      </c>
      <c r="F56" s="97">
        <f>(AF46+($E$22-AB43)*AF51-($G$22-AF43)*AF49)*$I$22</f>
        <v>0</v>
      </c>
      <c r="G56" s="97">
        <f>(AF47-($E$22-AB42)*AF50+($F$22-AD42)*AF49)*$J$22</f>
        <v>0</v>
      </c>
      <c r="H56" s="82"/>
      <c r="I56" s="92">
        <f t="shared" si="0"/>
        <v>0</v>
      </c>
      <c r="J56" s="92">
        <f t="shared" si="1"/>
        <v>0</v>
      </c>
      <c r="K56" s="92">
        <f t="shared" si="2"/>
        <v>0</v>
      </c>
      <c r="L56" s="82"/>
      <c r="M56" s="86">
        <v>19</v>
      </c>
      <c r="N56" s="86"/>
      <c r="O56" s="86"/>
      <c r="P56" s="86"/>
      <c r="Q56" s="86"/>
      <c r="R56" s="86"/>
      <c r="S56" s="86"/>
      <c r="T56" s="88"/>
      <c r="U56" s="86"/>
      <c r="V56" s="86"/>
      <c r="W56" s="86"/>
      <c r="X56" s="85"/>
      <c r="Y56" s="82"/>
      <c r="Z56" s="82"/>
      <c r="AA56" s="100">
        <v>8</v>
      </c>
      <c r="AB56" s="82">
        <f>Z49*Z50*Z54+Z49*Z53*Z52</f>
        <v>0</v>
      </c>
      <c r="AC56" s="82"/>
      <c r="AD56" s="82"/>
      <c r="AE56" s="82"/>
      <c r="AF56" s="82"/>
      <c r="AG56" s="82"/>
      <c r="AH56" s="82"/>
      <c r="AI56" s="82"/>
      <c r="AJ56" s="82"/>
      <c r="AK56" s="82"/>
      <c r="AL56" s="82"/>
      <c r="AM56" s="82"/>
      <c r="AN56" s="82"/>
      <c r="AO56" s="82"/>
      <c r="AP56" s="82"/>
      <c r="AQ56" s="82"/>
      <c r="AR56" s="82"/>
      <c r="AS56" s="82"/>
      <c r="AT56" s="82"/>
      <c r="AU56" s="82"/>
    </row>
    <row r="57" spans="3:47" s="61" customFormat="1">
      <c r="C57" s="86"/>
      <c r="D57" s="104">
        <v>20</v>
      </c>
      <c r="E57" s="97">
        <f>(AF45-($F$23-AD43)*AF51+($G$23-AF42)*AF50)*$H$23</f>
        <v>0</v>
      </c>
      <c r="F57" s="97">
        <f>(AF46+($E$23-AB43)*AF51-($G$23-AF43)*AF49)*$I$23</f>
        <v>0</v>
      </c>
      <c r="G57" s="97">
        <f>(AF47-($E$23-AB42)*AF50+($F$23-AD42)*AF49)*$J$23</f>
        <v>0</v>
      </c>
      <c r="H57" s="82"/>
      <c r="I57" s="92">
        <f t="shared" si="0"/>
        <v>0</v>
      </c>
      <c r="J57" s="92">
        <f t="shared" si="1"/>
        <v>0</v>
      </c>
      <c r="K57" s="92">
        <f t="shared" si="2"/>
        <v>0</v>
      </c>
      <c r="L57" s="82"/>
      <c r="M57" s="86">
        <v>20</v>
      </c>
      <c r="N57" s="86"/>
      <c r="O57" s="86"/>
      <c r="P57" s="86"/>
      <c r="Q57" s="86"/>
      <c r="R57" s="86"/>
      <c r="S57" s="86"/>
      <c r="T57" s="88"/>
      <c r="U57" s="86"/>
      <c r="V57" s="86"/>
      <c r="W57" s="86"/>
      <c r="X57" s="85"/>
      <c r="Y57" s="85"/>
      <c r="Z57" s="85"/>
      <c r="AA57" s="85"/>
      <c r="AB57" s="85"/>
      <c r="AC57" s="85"/>
      <c r="AD57" s="85"/>
      <c r="AE57" s="82"/>
      <c r="AF57" s="82"/>
      <c r="AG57" s="82"/>
      <c r="AH57" s="82"/>
      <c r="AI57" s="82"/>
      <c r="AJ57" s="82"/>
      <c r="AK57" s="82"/>
      <c r="AL57" s="82"/>
      <c r="AM57" s="82"/>
      <c r="AN57" s="82"/>
      <c r="AO57" s="82"/>
      <c r="AP57" s="82"/>
      <c r="AQ57" s="82"/>
      <c r="AR57" s="82"/>
      <c r="AS57" s="82"/>
      <c r="AT57" s="82"/>
      <c r="AU57" s="82"/>
    </row>
    <row r="58" spans="3:47" s="61" customFormat="1">
      <c r="C58" s="86"/>
      <c r="D58" s="104">
        <v>21</v>
      </c>
      <c r="E58" s="97">
        <f>(AF45-($F$24-AD43)*AF51+($G$24-AF42)*AF50)*$H$24</f>
        <v>0</v>
      </c>
      <c r="F58" s="97">
        <f>(AF46+($E$24-AB43)*AF51-($G$24-AF43)*AF49)*$I$24</f>
        <v>0</v>
      </c>
      <c r="G58" s="97">
        <f>(AF47-($E$24-AB42)*AF50+($F$24-AD42)*AF49)*$J$24</f>
        <v>0</v>
      </c>
      <c r="H58" s="82"/>
      <c r="I58" s="92">
        <f t="shared" si="0"/>
        <v>0</v>
      </c>
      <c r="J58" s="92">
        <f t="shared" si="1"/>
        <v>0</v>
      </c>
      <c r="K58" s="92">
        <f t="shared" si="2"/>
        <v>0</v>
      </c>
      <c r="L58" s="82"/>
      <c r="M58" s="86">
        <v>21</v>
      </c>
      <c r="N58" s="86"/>
      <c r="O58" s="86"/>
      <c r="P58" s="86"/>
      <c r="Q58" s="86"/>
      <c r="R58" s="86"/>
      <c r="S58" s="86"/>
      <c r="T58" s="88"/>
      <c r="U58" s="86"/>
      <c r="V58" s="86"/>
      <c r="W58" s="86"/>
      <c r="X58" s="85"/>
      <c r="Y58" s="85"/>
      <c r="Z58" s="85"/>
      <c r="AA58" s="85"/>
      <c r="AB58" s="85"/>
      <c r="AC58" s="85"/>
      <c r="AD58" s="85"/>
      <c r="AE58" s="82"/>
      <c r="AF58" s="82"/>
      <c r="AG58" s="82"/>
      <c r="AH58" s="82"/>
      <c r="AI58" s="82"/>
      <c r="AJ58" s="82"/>
      <c r="AK58" s="82"/>
      <c r="AL58" s="82"/>
      <c r="AM58" s="82"/>
      <c r="AN58" s="82"/>
      <c r="AO58" s="82"/>
      <c r="AP58" s="82"/>
      <c r="AQ58" s="82"/>
      <c r="AR58" s="82"/>
      <c r="AS58" s="82"/>
      <c r="AT58" s="82"/>
      <c r="AU58" s="82"/>
    </row>
    <row r="59" spans="3:47" s="61" customFormat="1">
      <c r="C59" s="86"/>
      <c r="D59" s="104">
        <v>22</v>
      </c>
      <c r="E59" s="97">
        <f>(AF45-($F$25-AD43)*AF51+($G$25-AF42)*AF50)*$H$25</f>
        <v>0</v>
      </c>
      <c r="F59" s="97">
        <f>(AF46+($E$25-AB43)*AF51-($G$25-AF43)*AF49)*$I$25</f>
        <v>0</v>
      </c>
      <c r="G59" s="97">
        <f>(AF47-($E$25-AB42)*AF50+($F$25-AD42)*AF49)*$J$25</f>
        <v>0</v>
      </c>
      <c r="H59" s="82"/>
      <c r="I59" s="92">
        <f t="shared" si="0"/>
        <v>0</v>
      </c>
      <c r="J59" s="92">
        <f t="shared" si="1"/>
        <v>0</v>
      </c>
      <c r="K59" s="92">
        <f t="shared" si="2"/>
        <v>0</v>
      </c>
      <c r="L59" s="82"/>
      <c r="M59" s="86">
        <v>22</v>
      </c>
      <c r="N59" s="86"/>
      <c r="O59" s="86"/>
      <c r="P59" s="86"/>
      <c r="Q59" s="86"/>
      <c r="R59" s="86"/>
      <c r="S59" s="86"/>
      <c r="T59" s="88"/>
      <c r="U59" s="86"/>
      <c r="V59" s="86"/>
      <c r="W59" s="86"/>
      <c r="X59" s="85"/>
      <c r="Y59" s="85"/>
      <c r="Z59" s="85"/>
      <c r="AA59" s="85"/>
      <c r="AB59" s="85"/>
      <c r="AC59" s="85"/>
      <c r="AD59" s="85"/>
      <c r="AE59" s="82"/>
      <c r="AF59" s="82"/>
      <c r="AG59" s="82"/>
      <c r="AH59" s="82"/>
      <c r="AI59" s="82"/>
      <c r="AJ59" s="82"/>
      <c r="AK59" s="82"/>
      <c r="AL59" s="82"/>
      <c r="AM59" s="82"/>
      <c r="AN59" s="82"/>
      <c r="AO59" s="82"/>
      <c r="AP59" s="82"/>
      <c r="AQ59" s="82"/>
      <c r="AR59" s="82"/>
      <c r="AS59" s="82"/>
      <c r="AT59" s="82"/>
      <c r="AU59" s="82"/>
    </row>
    <row r="60" spans="3:47" s="61" customFormat="1">
      <c r="C60" s="86"/>
      <c r="D60" s="104">
        <v>23</v>
      </c>
      <c r="E60" s="97">
        <f>(AF45-($F$26-AD43)*AF51+($G$26-AF42)*AF50)*$H$26</f>
        <v>0</v>
      </c>
      <c r="F60" s="97">
        <f>(AF46+($E$26-AB43)*AF51-($G$26-AF43)*AF49)*$I$26</f>
        <v>0</v>
      </c>
      <c r="G60" s="97">
        <f>(AF47-($E$26-AB42)*AF50+($F$26-AD42)*AF49)*$J$26</f>
        <v>0</v>
      </c>
      <c r="H60" s="82"/>
      <c r="I60" s="92">
        <f t="shared" si="0"/>
        <v>0</v>
      </c>
      <c r="J60" s="92">
        <f t="shared" si="1"/>
        <v>0</v>
      </c>
      <c r="K60" s="92">
        <f t="shared" si="2"/>
        <v>0</v>
      </c>
      <c r="L60" s="82"/>
      <c r="M60" s="86">
        <v>23</v>
      </c>
      <c r="N60" s="86"/>
      <c r="O60" s="86"/>
      <c r="P60" s="86"/>
      <c r="Q60" s="86"/>
      <c r="R60" s="86"/>
      <c r="S60" s="86"/>
      <c r="T60" s="88"/>
      <c r="U60" s="86"/>
      <c r="V60" s="86"/>
      <c r="W60" s="86"/>
      <c r="X60" s="85"/>
      <c r="Y60" s="85"/>
      <c r="Z60" s="85"/>
      <c r="AA60" s="85"/>
      <c r="AB60" s="85"/>
      <c r="AC60" s="85"/>
      <c r="AD60" s="85"/>
      <c r="AE60" s="82"/>
      <c r="AF60" s="82"/>
      <c r="AG60" s="82"/>
      <c r="AH60" s="82"/>
      <c r="AI60" s="82"/>
      <c r="AJ60" s="82"/>
      <c r="AK60" s="82"/>
      <c r="AL60" s="82"/>
      <c r="AM60" s="82"/>
      <c r="AN60" s="82"/>
      <c r="AO60" s="82"/>
      <c r="AP60" s="82"/>
      <c r="AQ60" s="82"/>
      <c r="AR60" s="82"/>
      <c r="AS60" s="82"/>
      <c r="AT60" s="82"/>
      <c r="AU60" s="82"/>
    </row>
    <row r="61" spans="3:47" s="61" customFormat="1">
      <c r="C61" s="86"/>
      <c r="D61" s="104">
        <v>24</v>
      </c>
      <c r="E61" s="97">
        <f>(AF45-($F$27-AD43)*AF51+($G$27-AF42)*AF50)*$H$27</f>
        <v>0</v>
      </c>
      <c r="F61" s="97">
        <f>(AF46+($E$27-AB43)*AF51-($G$27-AF43)*AF49)*$I$27</f>
        <v>0</v>
      </c>
      <c r="G61" s="97">
        <f>(AF47-($E$27-AB42)*AF50+($F$27-AD42)*AF49)*$J$27</f>
        <v>0</v>
      </c>
      <c r="H61" s="82"/>
      <c r="I61" s="92">
        <f t="shared" si="0"/>
        <v>0</v>
      </c>
      <c r="J61" s="92">
        <f t="shared" si="1"/>
        <v>0</v>
      </c>
      <c r="K61" s="92">
        <f t="shared" si="2"/>
        <v>0</v>
      </c>
      <c r="L61" s="88"/>
      <c r="M61" s="86">
        <v>24</v>
      </c>
      <c r="N61" s="86"/>
      <c r="O61" s="86"/>
      <c r="P61" s="86"/>
      <c r="Q61" s="86"/>
      <c r="R61" s="86"/>
      <c r="S61" s="86"/>
      <c r="T61" s="88"/>
      <c r="U61" s="86"/>
      <c r="V61" s="86"/>
      <c r="W61" s="86"/>
      <c r="X61" s="85"/>
      <c r="Y61" s="85"/>
      <c r="Z61" s="85"/>
      <c r="AA61" s="85"/>
      <c r="AB61" s="85"/>
      <c r="AC61" s="85"/>
      <c r="AD61" s="85"/>
      <c r="AE61" s="82"/>
      <c r="AF61" s="88"/>
      <c r="AG61" s="88"/>
      <c r="AH61" s="88"/>
      <c r="AI61" s="88"/>
      <c r="AJ61" s="88"/>
      <c r="AK61" s="82"/>
      <c r="AL61" s="82"/>
      <c r="AM61" s="88"/>
      <c r="AN61" s="88"/>
      <c r="AO61" s="88"/>
      <c r="AP61" s="88"/>
      <c r="AQ61" s="88"/>
      <c r="AR61" s="88"/>
      <c r="AS61" s="88"/>
      <c r="AT61" s="88"/>
      <c r="AU61" s="88"/>
    </row>
    <row r="62" spans="3:47" s="61" customFormat="1">
      <c r="C62" s="86"/>
      <c r="D62" s="104">
        <v>25</v>
      </c>
      <c r="E62" s="97">
        <f>(AF45-($F$28-AD43)*AF51+($G$28-AF42)*AF50)*$H$28</f>
        <v>0</v>
      </c>
      <c r="F62" s="97">
        <f>(AF46+($E$28-AB43)*AF51-($G$28-AF43)*AF49)*$I$28</f>
        <v>0</v>
      </c>
      <c r="G62" s="97">
        <f>(AF47-($E$28-AB42)*AF50+($F$28-AD42)*AF49)*$J$28</f>
        <v>0</v>
      </c>
      <c r="H62" s="82"/>
      <c r="I62" s="92">
        <f t="shared" si="0"/>
        <v>0</v>
      </c>
      <c r="J62" s="92">
        <f t="shared" si="1"/>
        <v>0</v>
      </c>
      <c r="K62" s="92">
        <f t="shared" si="2"/>
        <v>0</v>
      </c>
      <c r="L62" s="82"/>
      <c r="M62" s="86">
        <v>25</v>
      </c>
      <c r="N62" s="86"/>
      <c r="O62" s="86"/>
      <c r="P62" s="86"/>
      <c r="Q62" s="86"/>
      <c r="R62" s="86"/>
      <c r="S62" s="86"/>
      <c r="T62" s="88"/>
      <c r="U62" s="86"/>
      <c r="V62" s="86"/>
      <c r="W62" s="86"/>
      <c r="X62" s="85"/>
      <c r="Y62" s="85"/>
      <c r="Z62" s="85"/>
      <c r="AA62" s="85"/>
      <c r="AB62" s="85"/>
      <c r="AC62" s="85"/>
      <c r="AD62" s="85"/>
      <c r="AE62" s="82"/>
      <c r="AF62" s="82"/>
      <c r="AG62" s="82"/>
      <c r="AH62" s="82"/>
      <c r="AI62" s="82"/>
      <c r="AJ62" s="82"/>
      <c r="AK62" s="82"/>
      <c r="AL62" s="82"/>
      <c r="AM62" s="82"/>
      <c r="AN62" s="82"/>
      <c r="AO62" s="82"/>
      <c r="AP62" s="82"/>
      <c r="AQ62" s="82"/>
      <c r="AR62" s="82"/>
      <c r="AS62" s="82"/>
      <c r="AT62" s="82"/>
      <c r="AU62" s="82"/>
    </row>
    <row r="63" spans="3:47" s="61" customFormat="1">
      <c r="C63" s="86"/>
      <c r="D63" s="104">
        <v>26</v>
      </c>
      <c r="E63" s="97">
        <f>(AF45-($F$29-AD43)*AF51+($G$29-AF42)*AF50)*$H$29</f>
        <v>0</v>
      </c>
      <c r="F63" s="97">
        <f>(AF46+($E$29-AB43)*AF51-($G$29-AF43)*AF49)*$I$29</f>
        <v>0</v>
      </c>
      <c r="G63" s="97">
        <f>(AF47-($E$29-AB42)*AF50+($F$29-AD42)*AF49)*$J$29</f>
        <v>0</v>
      </c>
      <c r="H63" s="82"/>
      <c r="I63" s="92">
        <f t="shared" si="0"/>
        <v>0</v>
      </c>
      <c r="J63" s="92">
        <f t="shared" si="1"/>
        <v>0</v>
      </c>
      <c r="K63" s="92">
        <f t="shared" si="2"/>
        <v>0</v>
      </c>
      <c r="L63" s="82"/>
      <c r="M63" s="85"/>
      <c r="N63" s="85"/>
      <c r="O63" s="85"/>
      <c r="P63" s="85"/>
      <c r="Q63" s="85"/>
      <c r="R63" s="85"/>
      <c r="S63" s="85"/>
      <c r="T63" s="82"/>
      <c r="U63" s="85"/>
      <c r="V63" s="85"/>
      <c r="W63" s="85"/>
      <c r="X63" s="85"/>
      <c r="Y63" s="85"/>
      <c r="Z63" s="85"/>
      <c r="AA63" s="85"/>
      <c r="AB63" s="85"/>
      <c r="AC63" s="85"/>
      <c r="AD63" s="85"/>
      <c r="AE63" s="82"/>
      <c r="AF63" s="82"/>
      <c r="AG63" s="82"/>
      <c r="AH63" s="82"/>
      <c r="AI63" s="82"/>
      <c r="AJ63" s="82"/>
      <c r="AK63" s="88"/>
      <c r="AL63" s="88"/>
      <c r="AM63" s="82"/>
      <c r="AN63" s="82"/>
      <c r="AO63" s="82"/>
      <c r="AP63" s="82"/>
      <c r="AQ63" s="82"/>
      <c r="AR63" s="82"/>
      <c r="AS63" s="82"/>
      <c r="AT63" s="82"/>
      <c r="AU63" s="82"/>
    </row>
    <row r="64" spans="3:47" s="61" customFormat="1">
      <c r="C64" s="86"/>
      <c r="D64" s="104">
        <v>27</v>
      </c>
      <c r="E64" s="97">
        <f>(AF45-($F$30-AD43)*AF51+($G$30-AF42)*AF50)*$H$30</f>
        <v>0</v>
      </c>
      <c r="F64" s="97">
        <f>(AF46+($E$30-AB43)*AF51-($G$30-AF43)*AF49)*$I$30</f>
        <v>0</v>
      </c>
      <c r="G64" s="97">
        <f>(AF47-($E$30-AB42)*AF50+($F$30-AD42)*AF49)*$J$30</f>
        <v>0</v>
      </c>
      <c r="H64" s="82"/>
      <c r="I64" s="92">
        <f t="shared" si="0"/>
        <v>0</v>
      </c>
      <c r="J64" s="92">
        <f t="shared" si="1"/>
        <v>0</v>
      </c>
      <c r="K64" s="92">
        <f t="shared" si="2"/>
        <v>0</v>
      </c>
      <c r="L64" s="82"/>
      <c r="M64" s="88"/>
      <c r="N64" s="105"/>
      <c r="O64" s="105"/>
      <c r="P64" s="105"/>
      <c r="Q64" s="88"/>
      <c r="R64" s="88"/>
      <c r="S64" s="88"/>
      <c r="T64" s="88"/>
      <c r="U64" s="88"/>
      <c r="V64" s="88"/>
      <c r="W64" s="88"/>
      <c r="X64" s="88"/>
      <c r="Y64" s="88"/>
      <c r="Z64" s="88"/>
      <c r="AA64" s="88"/>
      <c r="AB64" s="88"/>
      <c r="AC64" s="88"/>
      <c r="AD64" s="88"/>
      <c r="AE64" s="88"/>
      <c r="AF64" s="82"/>
      <c r="AG64" s="82"/>
      <c r="AH64" s="82"/>
      <c r="AI64" s="82"/>
      <c r="AJ64" s="82"/>
      <c r="AK64" s="82"/>
      <c r="AL64" s="82"/>
      <c r="AM64" s="82"/>
      <c r="AN64" s="82"/>
      <c r="AO64" s="82"/>
      <c r="AP64" s="82"/>
      <c r="AQ64" s="82"/>
      <c r="AR64" s="82"/>
      <c r="AS64" s="82"/>
      <c r="AT64" s="82"/>
      <c r="AU64" s="82"/>
    </row>
    <row r="65" spans="3:47" s="61" customFormat="1">
      <c r="C65" s="86"/>
      <c r="D65" s="104">
        <v>28</v>
      </c>
      <c r="E65" s="97">
        <f>(AF45-($F$31-AD43)*AF51+($G$31-AF42)*AF50)*$H$31</f>
        <v>0</v>
      </c>
      <c r="F65" s="97">
        <f>(AF46+($E$31-AB43)*AF51-($G$31-AF43)*AF49)*$I$31</f>
        <v>0</v>
      </c>
      <c r="G65" s="97">
        <f>(AF47-($E$31-AB42)*AF50+($F$31-AD42)*AF49)*$J$31</f>
        <v>0</v>
      </c>
      <c r="H65" s="82"/>
      <c r="I65" s="92">
        <f t="shared" si="0"/>
        <v>0</v>
      </c>
      <c r="J65" s="92">
        <f t="shared" si="1"/>
        <v>0</v>
      </c>
      <c r="K65" s="92">
        <f t="shared" si="2"/>
        <v>0</v>
      </c>
      <c r="L65" s="82"/>
      <c r="M65" s="82"/>
      <c r="N65" s="82"/>
      <c r="O65" s="82"/>
      <c r="P65" s="82"/>
      <c r="Q65" s="82"/>
      <c r="R65" s="82"/>
      <c r="S65" s="82"/>
      <c r="T65" s="82"/>
      <c r="U65" s="82"/>
      <c r="V65" s="82"/>
      <c r="W65" s="82"/>
      <c r="X65" s="82"/>
      <c r="Y65" s="82"/>
      <c r="Z65" s="82"/>
      <c r="AA65" s="82"/>
      <c r="AB65" s="82"/>
      <c r="AC65" s="82"/>
      <c r="AD65" s="82"/>
      <c r="AE65" s="82"/>
      <c r="AF65" s="82"/>
      <c r="AG65" s="82"/>
      <c r="AH65" s="82"/>
      <c r="AI65" s="82"/>
      <c r="AJ65" s="82"/>
      <c r="AK65" s="82"/>
      <c r="AL65" s="82"/>
      <c r="AM65" s="82"/>
      <c r="AN65" s="82"/>
      <c r="AO65" s="82"/>
      <c r="AP65" s="82"/>
      <c r="AQ65" s="82"/>
      <c r="AR65" s="82"/>
      <c r="AS65" s="82"/>
      <c r="AT65" s="82"/>
      <c r="AU65" s="82"/>
    </row>
    <row r="66" spans="3:47" s="68" customFormat="1" ht="13.8">
      <c r="C66" s="30"/>
      <c r="D66" s="77">
        <v>29</v>
      </c>
      <c r="E66" s="28">
        <f>(AF45-($F$32-AD43)*AF51+($G$32-AF42)*AF50)*$H$32</f>
        <v>0</v>
      </c>
      <c r="F66" s="28">
        <f>(AF46+($E$32-AB43)*AF51-($G$32-AF43)*AF49)*$I$32</f>
        <v>0</v>
      </c>
      <c r="G66" s="28">
        <f>(AF47-($E$32-AB42)*AF50+($F$32-AD42)*AF49)*$J$32</f>
        <v>0</v>
      </c>
      <c r="H66" s="62"/>
      <c r="I66" s="76">
        <f t="shared" si="0"/>
        <v>0</v>
      </c>
      <c r="J66" s="76">
        <f t="shared" si="1"/>
        <v>0</v>
      </c>
      <c r="K66" s="76">
        <f t="shared" si="2"/>
        <v>0</v>
      </c>
      <c r="L66" s="62"/>
      <c r="M66" s="62"/>
      <c r="N66" s="62"/>
      <c r="O66" s="62"/>
      <c r="P66" s="62"/>
      <c r="Q66" s="62"/>
      <c r="R66" s="62"/>
      <c r="S66" s="62"/>
      <c r="T66" s="62"/>
      <c r="U66" s="62"/>
      <c r="V66" s="62"/>
      <c r="W66" s="62"/>
      <c r="X66" s="62"/>
      <c r="Y66" s="62"/>
      <c r="Z66" s="62"/>
      <c r="AA66" s="62"/>
      <c r="AB66" s="62"/>
      <c r="AC66" s="62"/>
      <c r="AD66" s="62"/>
      <c r="AE66" s="62"/>
      <c r="AF66" s="62"/>
      <c r="AG66" s="62"/>
      <c r="AH66" s="62"/>
      <c r="AI66" s="62"/>
      <c r="AJ66" s="62"/>
      <c r="AK66" s="62"/>
      <c r="AL66" s="62"/>
      <c r="AM66" s="62"/>
      <c r="AN66" s="62"/>
      <c r="AO66" s="62"/>
      <c r="AP66" s="62"/>
      <c r="AQ66" s="62"/>
      <c r="AR66" s="62"/>
      <c r="AS66" s="62"/>
      <c r="AT66" s="62"/>
      <c r="AU66" s="62"/>
    </row>
    <row r="67" spans="3:47" s="68" customFormat="1" ht="13.8">
      <c r="C67" s="62"/>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c r="AE67" s="62"/>
      <c r="AF67" s="62"/>
      <c r="AG67" s="62"/>
      <c r="AH67" s="62"/>
      <c r="AI67" s="62"/>
      <c r="AJ67" s="62"/>
      <c r="AK67" s="62"/>
      <c r="AL67" s="62"/>
      <c r="AM67" s="62"/>
      <c r="AN67" s="62"/>
      <c r="AO67" s="62"/>
      <c r="AP67" s="62"/>
      <c r="AQ67" s="62"/>
      <c r="AR67" s="62"/>
      <c r="AS67" s="62"/>
      <c r="AT67" s="62"/>
      <c r="AU67" s="62"/>
    </row>
    <row r="68" spans="3:47" s="68" customFormat="1" ht="13.8">
      <c r="C68" s="51" t="str">
        <f>PURPOSE!C33</f>
        <v>23.561(b)(2)(ii)</v>
      </c>
      <c r="D68" s="51"/>
      <c r="E68" s="51"/>
      <c r="F68" s="51"/>
      <c r="G68" s="62"/>
      <c r="H68" s="62"/>
      <c r="I68" s="62"/>
      <c r="J68" s="62"/>
      <c r="K68" s="62"/>
      <c r="L68" s="62"/>
      <c r="M68" s="62"/>
      <c r="N68" s="62"/>
      <c r="O68" s="62"/>
      <c r="P68" s="62"/>
      <c r="Q68" s="62"/>
      <c r="R68" s="62"/>
      <c r="S68" s="62"/>
      <c r="T68" s="62"/>
      <c r="U68" s="62"/>
      <c r="V68" s="62"/>
      <c r="W68" s="62"/>
      <c r="X68" s="62"/>
      <c r="Y68" s="62"/>
      <c r="Z68" s="62"/>
      <c r="AA68" s="62"/>
      <c r="AB68" s="62"/>
      <c r="AC68" s="62"/>
      <c r="AD68" s="62"/>
      <c r="AE68" s="62"/>
      <c r="AF68" s="62"/>
      <c r="AG68" s="62"/>
      <c r="AH68" s="62"/>
      <c r="AI68" s="62"/>
      <c r="AJ68" s="62"/>
      <c r="AK68" s="62"/>
      <c r="AL68" s="62"/>
      <c r="AM68" s="62"/>
      <c r="AN68" s="62"/>
      <c r="AO68" s="62"/>
      <c r="AP68" s="62"/>
      <c r="AQ68" s="62"/>
      <c r="AR68" s="62"/>
      <c r="AS68" s="62"/>
      <c r="AT68" s="62"/>
      <c r="AU68" s="62"/>
    </row>
    <row r="69" spans="3:47" s="68" customFormat="1" ht="13.8">
      <c r="C69" s="62"/>
      <c r="D69" s="62"/>
      <c r="E69" s="62"/>
      <c r="F69" s="62"/>
      <c r="G69" s="62"/>
      <c r="H69" s="62"/>
      <c r="I69" s="62"/>
      <c r="J69" s="62"/>
      <c r="K69" s="62"/>
      <c r="L69" s="62"/>
      <c r="M69" s="62"/>
      <c r="N69" s="62"/>
      <c r="O69" s="62"/>
      <c r="P69" s="62"/>
      <c r="Q69" s="62"/>
      <c r="R69" s="62"/>
      <c r="S69" s="62"/>
      <c r="T69" s="62"/>
      <c r="U69" s="62"/>
      <c r="V69" s="62"/>
      <c r="W69" s="62"/>
      <c r="X69" s="62"/>
      <c r="Y69" s="62"/>
      <c r="Z69" s="62"/>
      <c r="AA69" s="62"/>
      <c r="AB69" s="62"/>
      <c r="AC69" s="62"/>
      <c r="AD69" s="62"/>
      <c r="AE69" s="62"/>
      <c r="AF69" s="62"/>
      <c r="AG69" s="62"/>
      <c r="AH69" s="62"/>
      <c r="AI69" s="62"/>
      <c r="AJ69" s="62"/>
      <c r="AK69" s="75"/>
      <c r="AL69" s="74"/>
      <c r="AM69" s="62"/>
      <c r="AN69" s="62"/>
      <c r="AO69" s="62"/>
      <c r="AP69" s="62"/>
      <c r="AQ69" s="62"/>
      <c r="AR69" s="62"/>
      <c r="AS69" s="62"/>
      <c r="AT69" s="62"/>
      <c r="AU69" s="62"/>
    </row>
    <row r="70" spans="3:47" s="68" customFormat="1" ht="26.4">
      <c r="C70" s="69" t="s">
        <v>98</v>
      </c>
      <c r="D70" s="69" t="s">
        <v>97</v>
      </c>
      <c r="E70" s="69" t="s">
        <v>155</v>
      </c>
      <c r="F70" s="69" t="s">
        <v>156</v>
      </c>
      <c r="G70" s="69" t="s">
        <v>157</v>
      </c>
      <c r="H70" s="70"/>
      <c r="I70" s="69" t="s">
        <v>93</v>
      </c>
      <c r="J70" s="69" t="s">
        <v>92</v>
      </c>
      <c r="K70" s="69" t="s">
        <v>91</v>
      </c>
      <c r="L70" s="62"/>
      <c r="M70" s="71" t="s">
        <v>13</v>
      </c>
      <c r="N70" s="71" t="s">
        <v>90</v>
      </c>
      <c r="O70" s="71" t="s">
        <v>89</v>
      </c>
      <c r="P70" s="71" t="s">
        <v>88</v>
      </c>
      <c r="Q70" s="71" t="s">
        <v>158</v>
      </c>
      <c r="R70" s="71" t="s">
        <v>159</v>
      </c>
      <c r="S70" s="71" t="s">
        <v>160</v>
      </c>
      <c r="T70" s="72"/>
      <c r="U70" s="71" t="s">
        <v>161</v>
      </c>
      <c r="V70" s="71" t="s">
        <v>162</v>
      </c>
      <c r="W70" s="71" t="s">
        <v>163</v>
      </c>
      <c r="X70" s="73"/>
      <c r="Y70" s="30" t="s">
        <v>81</v>
      </c>
      <c r="Z70" s="30">
        <v>1</v>
      </c>
      <c r="AA70" s="73" t="s">
        <v>80</v>
      </c>
      <c r="AB70" s="74">
        <f>SUMPRODUCT($J$4:$J$32,$E$4:$E$32,$F$4:$F$32)</f>
        <v>0</v>
      </c>
      <c r="AC70" s="73" t="s">
        <v>79</v>
      </c>
      <c r="AD70" s="74">
        <f>SUMPRODUCT(H37:H65,F37:F65,G37:G65)</f>
        <v>0</v>
      </c>
      <c r="AE70" s="73" t="s">
        <v>78</v>
      </c>
      <c r="AF70" s="74">
        <f>SUMPRODUCT($I$4:$I$32,$E$4:$E$32,$G$4:$G$32)</f>
        <v>0</v>
      </c>
      <c r="AG70" s="62"/>
      <c r="AH70" s="62"/>
      <c r="AI70" s="62"/>
      <c r="AJ70" s="62"/>
      <c r="AK70" s="75"/>
      <c r="AL70" s="62"/>
      <c r="AM70" s="62"/>
      <c r="AN70" s="62"/>
      <c r="AO70" s="62"/>
      <c r="AP70" s="62"/>
      <c r="AQ70" s="62"/>
      <c r="AR70" s="62"/>
      <c r="AS70" s="62"/>
      <c r="AT70" s="62"/>
      <c r="AU70" s="62"/>
    </row>
    <row r="71" spans="3:47">
      <c r="C71" s="30" t="s">
        <v>77</v>
      </c>
      <c r="D71" s="39">
        <v>1</v>
      </c>
      <c r="E71" s="43">
        <f>(AF78-($F$4-AD76)*AF84+($G$4-AF75)*AF83)*$H$4</f>
        <v>-852.86250000000007</v>
      </c>
      <c r="F71" s="43">
        <f>(AF79+($E$4-AB76)*AF84-($G$4-AF76)*AF82)*$I$4</f>
        <v>0</v>
      </c>
      <c r="G71" s="43">
        <f>(AF80-($E$4-AB75)*AF83+($F$4-AD75)*AF82)*$J$4</f>
        <v>-4087.3033018867936</v>
      </c>
      <c r="H71" s="42"/>
      <c r="I71" s="27">
        <f t="shared" ref="I71:I99" si="3">SQRT(E71^2+F71^2)</f>
        <v>852.86250000000007</v>
      </c>
      <c r="J71" s="27">
        <f t="shared" ref="J71:J99" si="4">SQRT(E71^2+G71^2)</f>
        <v>4175.3350435050043</v>
      </c>
      <c r="K71" s="27">
        <f t="shared" ref="K71:K99" si="5">SQRT(F71^2+G71^2)</f>
        <v>4087.3033018867936</v>
      </c>
      <c r="M71" s="34">
        <v>1</v>
      </c>
      <c r="N71" s="47">
        <f>N38</f>
        <v>12</v>
      </c>
      <c r="O71" s="47">
        <f>PURPOSE!E25</f>
        <v>0</v>
      </c>
      <c r="P71" s="47">
        <f>P38</f>
        <v>30</v>
      </c>
      <c r="Q71" s="48">
        <f>PURPOSE!E47</f>
        <v>-3411.4500000000003</v>
      </c>
      <c r="R71" s="48">
        <f>PURPOSE!F47</f>
        <v>0</v>
      </c>
      <c r="S71" s="48">
        <f>PURPOSE!G47</f>
        <v>0</v>
      </c>
      <c r="T71" s="31"/>
      <c r="U71" s="34">
        <v>0</v>
      </c>
      <c r="V71" s="34">
        <v>0</v>
      </c>
      <c r="W71" s="34">
        <v>0</v>
      </c>
      <c r="X71" s="33"/>
      <c r="Y71" s="34" t="s">
        <v>76</v>
      </c>
      <c r="Z71" s="34">
        <v>1</v>
      </c>
      <c r="AA71" s="33" t="s">
        <v>75</v>
      </c>
      <c r="AB71" s="45">
        <f>SUMPRODUCT($J$4:$J$32,$E$4:$E$32)</f>
        <v>25.039370078740159</v>
      </c>
      <c r="AC71" s="33" t="s">
        <v>74</v>
      </c>
      <c r="AD71" s="45">
        <f>SUMPRODUCT($J$4:$J$32,$F$4:$F$32)</f>
        <v>0</v>
      </c>
      <c r="AE71" s="33" t="s">
        <v>73</v>
      </c>
      <c r="AF71" s="45">
        <f>SUMPRODUCT($H$4:$H$32,$G$4:$G$32)</f>
        <v>0</v>
      </c>
      <c r="AK71" s="31"/>
    </row>
    <row r="72" spans="3:47">
      <c r="C72" s="30" t="s">
        <v>72</v>
      </c>
      <c r="D72" s="39">
        <v>2</v>
      </c>
      <c r="E72" s="43">
        <f>(AF78-($F$5-AD76)*AF84+($G$5-AF75)*AF83)*$H$5</f>
        <v>-852.86250000000007</v>
      </c>
      <c r="F72" s="43">
        <f>(AF79+($E$5-AB76)*AF84-($G$5-AF76)*AF82)*$I$5</f>
        <v>0</v>
      </c>
      <c r="G72" s="43">
        <f>(AF80-($E$5-AB75)*AF83+($F$5-AD75)*AF82)*$J$5</f>
        <v>-4087.3033018867936</v>
      </c>
      <c r="H72" s="42"/>
      <c r="I72" s="27">
        <f t="shared" si="3"/>
        <v>852.86250000000007</v>
      </c>
      <c r="J72" s="27">
        <f t="shared" si="4"/>
        <v>4175.3350435050043</v>
      </c>
      <c r="K72" s="27">
        <f t="shared" si="5"/>
        <v>4087.3033018867936</v>
      </c>
      <c r="M72" s="34">
        <v>2</v>
      </c>
      <c r="N72" s="47"/>
      <c r="O72" s="47"/>
      <c r="P72" s="47"/>
      <c r="Q72" s="47"/>
      <c r="R72" s="46"/>
      <c r="S72" s="46"/>
      <c r="T72" s="31"/>
      <c r="U72" s="34"/>
      <c r="V72" s="34"/>
      <c r="W72" s="34"/>
      <c r="X72" s="33"/>
      <c r="Y72" s="34" t="s">
        <v>71</v>
      </c>
      <c r="Z72" s="34">
        <v>0</v>
      </c>
      <c r="AA72" s="33" t="s">
        <v>70</v>
      </c>
      <c r="AB72" s="45">
        <f>SUMPRODUCT($I$4:$I$32,$E$4:$E$32)</f>
        <v>25.039370078740159</v>
      </c>
      <c r="AC72" s="33" t="s">
        <v>69</v>
      </c>
      <c r="AD72" s="45">
        <f>SUMPRODUCT($H$4:$H$32,$F$4:$F$32)</f>
        <v>0</v>
      </c>
      <c r="AE72" s="33" t="s">
        <v>68</v>
      </c>
      <c r="AF72" s="45">
        <f>SUMPRODUCT($I$4:$I$32,$G$4:$G$32)</f>
        <v>0</v>
      </c>
      <c r="AK72" s="31"/>
    </row>
    <row r="73" spans="3:47">
      <c r="C73" s="30" t="s">
        <v>67</v>
      </c>
      <c r="D73" s="39">
        <v>3</v>
      </c>
      <c r="E73" s="43">
        <f>(AF78-($F$6-AD76)*AF84+($G$6-AF75)*AF83)*$H$6</f>
        <v>-852.86250000000007</v>
      </c>
      <c r="F73" s="43">
        <f>(AF79+($E$6-AB76)*AF84-($G$6-AF76)*AF82)*$I$6</f>
        <v>0</v>
      </c>
      <c r="G73" s="43">
        <f>(AF80-($E$6-AB75)*AF83+($F$6-AD75)*AF82)*$J$6</f>
        <v>4087.3033018867936</v>
      </c>
      <c r="H73" s="42"/>
      <c r="I73" s="27">
        <f t="shared" si="3"/>
        <v>852.86250000000007</v>
      </c>
      <c r="J73" s="27">
        <f t="shared" si="4"/>
        <v>4175.3350435050043</v>
      </c>
      <c r="K73" s="27">
        <f t="shared" si="5"/>
        <v>4087.3033018867936</v>
      </c>
      <c r="M73" s="34">
        <v>3</v>
      </c>
      <c r="N73" s="34"/>
      <c r="O73" s="34"/>
      <c r="P73" s="34"/>
      <c r="Q73" s="34"/>
      <c r="R73" s="34"/>
      <c r="S73" s="34"/>
      <c r="T73" s="31"/>
      <c r="U73" s="34"/>
      <c r="V73" s="34"/>
      <c r="W73" s="34"/>
      <c r="X73" s="33"/>
      <c r="Y73" s="34" t="s">
        <v>66</v>
      </c>
      <c r="Z73" s="34">
        <v>1</v>
      </c>
      <c r="AA73" s="33" t="s">
        <v>65</v>
      </c>
      <c r="AB73" s="45">
        <f>SUMPRODUCT($J$4:$J$32,POWER($E$4:$E$32,2))</f>
        <v>313.48502697005398</v>
      </c>
      <c r="AC73" s="33" t="s">
        <v>64</v>
      </c>
      <c r="AD73" s="45">
        <f>SUMPRODUCT($J$4:$J$32*POWER($F$4:$F$32,2))</f>
        <v>112.995225990452</v>
      </c>
      <c r="AE73" s="33" t="s">
        <v>63</v>
      </c>
      <c r="AF73" s="45">
        <f>SUMPRODUCT($H$4:$H$32,POWER($G$4:$G$32,2))</f>
        <v>0</v>
      </c>
      <c r="AK73" s="31"/>
    </row>
    <row r="74" spans="3:47">
      <c r="C74" s="30" t="s">
        <v>62</v>
      </c>
      <c r="D74" s="39">
        <v>4</v>
      </c>
      <c r="E74" s="43">
        <f>(AF78-($F$7-AD76)*AF84+($G$7-AF75)*AF83)*$H$7</f>
        <v>-852.86250000000007</v>
      </c>
      <c r="F74" s="43">
        <f>(AF79+($E$7-AB76)*AF84-($G$7-AF76)*AF82)*$I$7</f>
        <v>0</v>
      </c>
      <c r="G74" s="43">
        <f>(AF80-($E$7-AB75)*AF83+($F$7-AD75)*AF82)*$J$7</f>
        <v>4087.3033018867936</v>
      </c>
      <c r="H74" s="42"/>
      <c r="I74" s="27">
        <f t="shared" si="3"/>
        <v>852.86250000000007</v>
      </c>
      <c r="J74" s="27">
        <f t="shared" si="4"/>
        <v>4175.3350435050043</v>
      </c>
      <c r="K74" s="27">
        <f t="shared" si="5"/>
        <v>4087.3033018867936</v>
      </c>
      <c r="M74" s="34">
        <v>4</v>
      </c>
      <c r="N74" s="34"/>
      <c r="O74" s="34"/>
      <c r="P74" s="34"/>
      <c r="Q74" s="34"/>
      <c r="R74" s="34"/>
      <c r="S74" s="34"/>
      <c r="T74" s="31"/>
      <c r="U74" s="34"/>
      <c r="V74" s="34"/>
      <c r="W74" s="34"/>
      <c r="X74" s="33"/>
      <c r="Y74" s="34" t="s">
        <v>61</v>
      </c>
      <c r="Z74" s="34">
        <v>1</v>
      </c>
      <c r="AA74" s="33" t="s">
        <v>60</v>
      </c>
      <c r="AB74" s="45">
        <f>SUMPRODUCT($I$4:$I$32,POWER($E$4:$E$32,2))</f>
        <v>313.48502697005398</v>
      </c>
      <c r="AC74" s="33" t="s">
        <v>59</v>
      </c>
      <c r="AD74" s="45">
        <f>SUMPRODUCT($H$4:$H$32,POWER($F$4:$F$32,2))</f>
        <v>112.995225990452</v>
      </c>
      <c r="AE74" s="33" t="s">
        <v>58</v>
      </c>
      <c r="AF74" s="45">
        <f>SUMPRODUCT($I$4:$I$32,POWER($G$4:$G$32,2))</f>
        <v>0</v>
      </c>
      <c r="AK74" s="31"/>
    </row>
    <row r="75" spans="3:47">
      <c r="C75" s="30" t="s">
        <v>57</v>
      </c>
      <c r="D75" s="39">
        <v>5</v>
      </c>
      <c r="E75" s="43">
        <f>(AF78-($F$8-AD76)*AF84+($G$8-AF75)*AF83)*$H$8</f>
        <v>0</v>
      </c>
      <c r="F75" s="43">
        <f>(AF79+($E$8-AB76)*AF84-($G$8-AF76)*AF82)*$I$8</f>
        <v>0</v>
      </c>
      <c r="G75" s="43">
        <f>(AF80-($E$8-AB75)*AF83+($F$8-AD75)*AF82)*$J$8</f>
        <v>0</v>
      </c>
      <c r="H75" s="42"/>
      <c r="I75" s="27">
        <f t="shared" si="3"/>
        <v>0</v>
      </c>
      <c r="J75" s="27">
        <f t="shared" si="4"/>
        <v>0</v>
      </c>
      <c r="K75" s="27">
        <f t="shared" si="5"/>
        <v>0</v>
      </c>
      <c r="M75" s="34">
        <v>5</v>
      </c>
      <c r="N75" s="34"/>
      <c r="O75" s="34"/>
      <c r="P75" s="34"/>
      <c r="Q75" s="34"/>
      <c r="R75" s="34"/>
      <c r="S75" s="34"/>
      <c r="T75" s="31"/>
      <c r="U75" s="34"/>
      <c r="V75" s="34"/>
      <c r="W75" s="34"/>
      <c r="X75" s="33"/>
      <c r="Y75" s="34" t="s">
        <v>56</v>
      </c>
      <c r="Z75" s="34">
        <v>0</v>
      </c>
      <c r="AA75" s="33" t="s">
        <v>55</v>
      </c>
      <c r="AB75" s="45">
        <f>IF(Z80=0,0,AB71/Z80)</f>
        <v>6.2598425196850398</v>
      </c>
      <c r="AC75" s="33" t="s">
        <v>54</v>
      </c>
      <c r="AD75" s="45">
        <f>IF(Z80=0,0,AD71/Z80)</f>
        <v>0</v>
      </c>
      <c r="AE75" s="33" t="s">
        <v>53</v>
      </c>
      <c r="AF75" s="45">
        <f>IF(Z78=0,0,AF71/Z78)</f>
        <v>0</v>
      </c>
      <c r="AK75" s="31"/>
    </row>
    <row r="76" spans="3:47">
      <c r="C76" s="30" t="s">
        <v>52</v>
      </c>
      <c r="D76" s="39">
        <v>6</v>
      </c>
      <c r="E76" s="43">
        <f>(AF78-($F$9-AD76)*AF84+($G$9-AF75)*AF83)*$H$9</f>
        <v>0</v>
      </c>
      <c r="F76" s="43">
        <f>(AF79+($E$9-AB76)*AF84-($G$9-AF76)*AF82)*$I$9</f>
        <v>0</v>
      </c>
      <c r="G76" s="43">
        <f>(AF80-($E$9-AB75)*AF83+($F$9-AD75)*AF82)*$J$9</f>
        <v>0</v>
      </c>
      <c r="H76" s="42"/>
      <c r="I76" s="27">
        <f t="shared" si="3"/>
        <v>0</v>
      </c>
      <c r="J76" s="27">
        <f t="shared" si="4"/>
        <v>0</v>
      </c>
      <c r="K76" s="27">
        <f t="shared" si="5"/>
        <v>0</v>
      </c>
      <c r="M76" s="34">
        <v>6</v>
      </c>
      <c r="N76" s="34"/>
      <c r="O76" s="34"/>
      <c r="P76" s="34"/>
      <c r="Q76" s="34"/>
      <c r="R76" s="34"/>
      <c r="S76" s="34"/>
      <c r="T76" s="31"/>
      <c r="U76" s="34"/>
      <c r="V76" s="34"/>
      <c r="W76" s="34"/>
      <c r="X76" s="33"/>
      <c r="Y76" s="34" t="s">
        <v>12</v>
      </c>
      <c r="Z76" s="34"/>
      <c r="AA76" s="33" t="s">
        <v>51</v>
      </c>
      <c r="AB76" s="45">
        <f>IF(Z79=0,0,AB72/Z79)</f>
        <v>6.2598425196850398</v>
      </c>
      <c r="AC76" s="33" t="s">
        <v>50</v>
      </c>
      <c r="AD76" s="45">
        <f>IF(Z78=0,0,AD72/Z78)</f>
        <v>0</v>
      </c>
      <c r="AE76" s="33" t="s">
        <v>49</v>
      </c>
      <c r="AF76" s="45">
        <f>IF(Z79=0,0,AF72/Z79)</f>
        <v>0</v>
      </c>
      <c r="AK76" s="31"/>
    </row>
    <row r="77" spans="3:47">
      <c r="C77" s="30" t="s">
        <v>48</v>
      </c>
      <c r="D77" s="39">
        <v>7</v>
      </c>
      <c r="E77" s="43">
        <f>(AF78-($F$10-AD76)*AF84+($G$10-AF75)*AF83)*$H$10</f>
        <v>0</v>
      </c>
      <c r="F77" s="43">
        <f>(AF79+($E$10-AB76)*AF84-($G$10-AF76)*AF82)*$I$10</f>
        <v>0</v>
      </c>
      <c r="G77" s="43">
        <f>(AF80-($E$10-AB75)*AF83+($F$10-AD75)*AF82)*$J$10</f>
        <v>0</v>
      </c>
      <c r="H77" s="42"/>
      <c r="I77" s="27">
        <f t="shared" si="3"/>
        <v>0</v>
      </c>
      <c r="J77" s="27">
        <f t="shared" si="4"/>
        <v>0</v>
      </c>
      <c r="K77" s="27">
        <f t="shared" si="5"/>
        <v>0</v>
      </c>
      <c r="M77" s="34">
        <v>7</v>
      </c>
      <c r="N77" s="34"/>
      <c r="O77" s="34"/>
      <c r="P77" s="34"/>
      <c r="Q77" s="34"/>
      <c r="R77" s="34"/>
      <c r="S77" s="34"/>
      <c r="T77" s="31"/>
      <c r="U77" s="34"/>
      <c r="V77" s="34"/>
      <c r="W77" s="34"/>
      <c r="X77" s="33"/>
      <c r="Y77" s="34" t="s">
        <v>47</v>
      </c>
      <c r="Z77" s="34"/>
      <c r="AK77" s="31"/>
    </row>
    <row r="78" spans="3:47">
      <c r="C78" s="30" t="s">
        <v>46</v>
      </c>
      <c r="D78" s="39">
        <v>8</v>
      </c>
      <c r="E78" s="43">
        <f>(AF78-($F$11-AD76)*AF84+($G$11-AF75)*AF83)*$H$11</f>
        <v>0</v>
      </c>
      <c r="F78" s="43">
        <f>(AF79+($E$11-AB76)*AF84-($G$11-AF76)*AF82)*$I$11</f>
        <v>0</v>
      </c>
      <c r="G78" s="43">
        <f>(AF80-($E$11-AB75)*AF83+($F$11-AD75)*AF82)*$J$11</f>
        <v>0</v>
      </c>
      <c r="H78" s="42"/>
      <c r="I78" s="27">
        <f t="shared" si="3"/>
        <v>0</v>
      </c>
      <c r="J78" s="27">
        <f t="shared" si="4"/>
        <v>0</v>
      </c>
      <c r="K78" s="27">
        <f t="shared" si="5"/>
        <v>0</v>
      </c>
      <c r="M78" s="34">
        <v>8</v>
      </c>
      <c r="N78" s="34"/>
      <c r="O78" s="34"/>
      <c r="P78" s="34"/>
      <c r="Q78" s="34"/>
      <c r="R78" s="34"/>
      <c r="S78" s="34"/>
      <c r="T78" s="31"/>
      <c r="U78" s="34"/>
      <c r="V78" s="34"/>
      <c r="W78" s="34"/>
      <c r="X78" s="33"/>
      <c r="Y78" s="34" t="s">
        <v>45</v>
      </c>
      <c r="Z78" s="34">
        <f>SUM($H$4:$H$32)</f>
        <v>4</v>
      </c>
      <c r="AA78" s="33" t="s">
        <v>44</v>
      </c>
      <c r="AB78" s="44">
        <f>SUM(Q71:Q95)</f>
        <v>-3411.4500000000003</v>
      </c>
      <c r="AC78" s="33" t="s">
        <v>43</v>
      </c>
      <c r="AD78" s="33">
        <f>SUM(U71:U95,SUMPRODUCT(S71:S95,(O71:O95-AD75)),-SUMPRODUCT(R71:R95,(P71:P95-AF76)))</f>
        <v>0</v>
      </c>
      <c r="AE78" s="26" t="s">
        <v>42</v>
      </c>
      <c r="AF78" s="26">
        <f>IF(Z78=0,0,AB78/Z78)</f>
        <v>-852.86250000000007</v>
      </c>
      <c r="AK78" s="31"/>
    </row>
    <row r="79" spans="3:47">
      <c r="C79" s="30" t="s">
        <v>41</v>
      </c>
      <c r="D79" s="39">
        <v>9</v>
      </c>
      <c r="E79" s="43">
        <f>(AF78-($F$12-AD76)*AF84+($G$12-AF75)*AF83)*$H$12</f>
        <v>0</v>
      </c>
      <c r="F79" s="43">
        <f>(AF79+($E$12-AB76)*AF84-($G$12-AF76)*AF82)*$I$12</f>
        <v>0</v>
      </c>
      <c r="G79" s="43">
        <f>(AF80-($E$12-AB75)*AF83+($F$12-AD75)*AF82)*$J$12</f>
        <v>0</v>
      </c>
      <c r="H79" s="42"/>
      <c r="I79" s="27">
        <f t="shared" si="3"/>
        <v>0</v>
      </c>
      <c r="J79" s="27">
        <f t="shared" si="4"/>
        <v>0</v>
      </c>
      <c r="K79" s="27">
        <f t="shared" si="5"/>
        <v>0</v>
      </c>
      <c r="M79" s="34">
        <v>9</v>
      </c>
      <c r="N79" s="34"/>
      <c r="O79" s="34"/>
      <c r="P79" s="34"/>
      <c r="Q79" s="34"/>
      <c r="R79" s="34"/>
      <c r="S79" s="34"/>
      <c r="T79" s="31"/>
      <c r="U79" s="34"/>
      <c r="V79" s="34"/>
      <c r="W79" s="34"/>
      <c r="X79" s="33"/>
      <c r="Y79" s="34" t="s">
        <v>40</v>
      </c>
      <c r="Z79" s="34">
        <f>SUM($I$4:$I$32)</f>
        <v>4</v>
      </c>
      <c r="AA79" s="33" t="s">
        <v>39</v>
      </c>
      <c r="AB79" s="33">
        <f>SUM(R71:R95)</f>
        <v>0</v>
      </c>
      <c r="AC79" s="33" t="s">
        <v>38</v>
      </c>
      <c r="AD79" s="33">
        <f>SUM(V71:V95,SUMPRODUCT(Q71:Q95,(P71:P95-AF75)),-SUMPRODUCT(S71:S95,(N71:N95-AB75)))</f>
        <v>-102343.50000000001</v>
      </c>
      <c r="AE79" s="26" t="s">
        <v>37</v>
      </c>
      <c r="AF79" s="26">
        <f>IF(Z79=0,0,AB79/Z79)</f>
        <v>0</v>
      </c>
      <c r="AK79" s="31"/>
    </row>
    <row r="80" spans="3:47">
      <c r="C80" s="30"/>
      <c r="D80" s="39">
        <v>10</v>
      </c>
      <c r="E80" s="43">
        <f>(AF78-($F$13-AD76)*AF84+($G$13-AF75)*AF83)*$H$13</f>
        <v>0</v>
      </c>
      <c r="F80" s="43">
        <f>(AF79+($E$13-AB76)*AF84-($G$13-AF76)*AF82)*$I$13</f>
        <v>0</v>
      </c>
      <c r="G80" s="43">
        <f>(AF80-($E$13-AB75)*AF83+($F$13-AD75)*AF82)*$J$13</f>
        <v>0</v>
      </c>
      <c r="H80" s="42"/>
      <c r="I80" s="27">
        <f t="shared" si="3"/>
        <v>0</v>
      </c>
      <c r="J80" s="27">
        <f t="shared" si="4"/>
        <v>0</v>
      </c>
      <c r="K80" s="27">
        <f t="shared" si="5"/>
        <v>0</v>
      </c>
      <c r="M80" s="34">
        <v>10</v>
      </c>
      <c r="N80" s="34"/>
      <c r="O80" s="34"/>
      <c r="P80" s="34"/>
      <c r="Q80" s="34"/>
      <c r="R80" s="34"/>
      <c r="S80" s="34"/>
      <c r="T80" s="31"/>
      <c r="U80" s="34"/>
      <c r="V80" s="34"/>
      <c r="W80" s="34"/>
      <c r="X80" s="33"/>
      <c r="Y80" s="34" t="s">
        <v>36</v>
      </c>
      <c r="Z80" s="34">
        <f>SUM($J$4:$J$32)</f>
        <v>4</v>
      </c>
      <c r="AA80" s="33" t="s">
        <v>35</v>
      </c>
      <c r="AB80" s="33">
        <f>SUM(S71:S95)</f>
        <v>0</v>
      </c>
      <c r="AC80" s="33" t="s">
        <v>34</v>
      </c>
      <c r="AD80" s="33">
        <f>SUM(W71:W95,SUMPRODUCT(R71:R95,(N71:N95-AB76)),-SUMPRODUCT(Q71:Q95,(O71:O95-AD76)))</f>
        <v>0</v>
      </c>
      <c r="AE80" s="26" t="s">
        <v>33</v>
      </c>
      <c r="AF80" s="26">
        <f>IF(Z80=0,0,AB80/Z80)</f>
        <v>0</v>
      </c>
      <c r="AK80" s="31"/>
    </row>
    <row r="81" spans="3:47">
      <c r="C81" s="30"/>
      <c r="D81" s="39">
        <v>11</v>
      </c>
      <c r="E81" s="43">
        <f>(AF78-($F$14-AD76)*AF84+($G$14-AF75)*AF83)*$H$14</f>
        <v>0</v>
      </c>
      <c r="F81" s="43">
        <f>(AF79+($E$14-AB76)*AF84-($G$14-AF76)*AF82)*$I$14</f>
        <v>0</v>
      </c>
      <c r="G81" s="43">
        <f>(AF80-($E$14-AB75)*AF83+($F$14-AD75)*AF82)*$J$14</f>
        <v>0</v>
      </c>
      <c r="H81" s="42"/>
      <c r="I81" s="27">
        <f t="shared" si="3"/>
        <v>0</v>
      </c>
      <c r="J81" s="27">
        <f t="shared" si="4"/>
        <v>0</v>
      </c>
      <c r="K81" s="27">
        <f t="shared" si="5"/>
        <v>0</v>
      </c>
      <c r="M81" s="34">
        <v>11</v>
      </c>
      <c r="N81" s="34"/>
      <c r="O81" s="34"/>
      <c r="P81" s="34"/>
      <c r="Q81" s="34"/>
      <c r="R81" s="34"/>
      <c r="S81" s="34"/>
      <c r="T81" s="31"/>
      <c r="U81" s="34"/>
      <c r="V81" s="34"/>
      <c r="W81" s="34"/>
      <c r="X81" s="33"/>
      <c r="AK81" s="31"/>
    </row>
    <row r="82" spans="3:47">
      <c r="C82" s="30"/>
      <c r="D82" s="39">
        <v>12</v>
      </c>
      <c r="E82" s="28">
        <f>(AF78-($F$15-AD76)*AF84+($G$15-AF75)*AF83)*$H$15</f>
        <v>0</v>
      </c>
      <c r="F82" s="28">
        <f>(AF79+($E$15-AB76)*AF84-($G$15-AF76)*AF82)*$I$15</f>
        <v>0</v>
      </c>
      <c r="G82" s="28">
        <f>(AF80-($E$15-AB75)*AF83+($F$15-AD75)*AF82)*$J$15</f>
        <v>0</v>
      </c>
      <c r="I82" s="27">
        <f t="shared" si="3"/>
        <v>0</v>
      </c>
      <c r="J82" s="27">
        <f t="shared" si="4"/>
        <v>0</v>
      </c>
      <c r="K82" s="27">
        <f t="shared" si="5"/>
        <v>0</v>
      </c>
      <c r="M82" s="34">
        <v>12</v>
      </c>
      <c r="N82" s="34"/>
      <c r="O82" s="34"/>
      <c r="P82" s="34"/>
      <c r="Q82" s="34"/>
      <c r="R82" s="34"/>
      <c r="S82" s="34"/>
      <c r="T82" s="31"/>
      <c r="U82" s="34"/>
      <c r="V82" s="34"/>
      <c r="W82" s="34"/>
      <c r="X82" s="33"/>
      <c r="Y82" s="36">
        <v>1</v>
      </c>
      <c r="Z82" s="38">
        <f>AF74+AD73-Z80*AD75^2-Z79*AF76^2</f>
        <v>112.995225990452</v>
      </c>
      <c r="AA82" s="35">
        <v>1</v>
      </c>
      <c r="AB82" s="26">
        <f>Z84*Z83^2-Z83*Z86^2</f>
        <v>6626974.9209806556</v>
      </c>
      <c r="AC82" s="37">
        <v>1</v>
      </c>
      <c r="AD82" s="26">
        <f>Z84*Z83-Z86^2</f>
        <v>42279.371267155962</v>
      </c>
      <c r="AE82" s="40">
        <v>1</v>
      </c>
      <c r="AF82" s="26">
        <f>IF(Z82=0,0,IF(Z83=0,AD78/Z84,IF(Z84=0,AD78/Z83,(AD78*AB82+AD79*AB83+AD80*AB84)/(AD82*AD83-AD84))))</f>
        <v>0</v>
      </c>
      <c r="AK82" s="31"/>
    </row>
    <row r="83" spans="3:47">
      <c r="C83" s="30"/>
      <c r="D83" s="39">
        <v>13</v>
      </c>
      <c r="E83" s="28">
        <f>(AF78-($F$16-AD76)*AF84+($G$16-AF75)*AF83)*$H$16</f>
        <v>0</v>
      </c>
      <c r="F83" s="28">
        <f>(AF79+($E$16-AB76)*AF84-($G$16-AF76)*AF82)*$I$16</f>
        <v>0</v>
      </c>
      <c r="G83" s="28">
        <f>(AF80-($E$16-AB75)*AF83+($F$16-AD75)*AF82)*$J$16</f>
        <v>0</v>
      </c>
      <c r="I83" s="27">
        <f t="shared" si="3"/>
        <v>0</v>
      </c>
      <c r="J83" s="27">
        <f t="shared" si="4"/>
        <v>0</v>
      </c>
      <c r="K83" s="27">
        <f t="shared" si="5"/>
        <v>0</v>
      </c>
      <c r="M83" s="34">
        <v>13</v>
      </c>
      <c r="N83" s="34"/>
      <c r="O83" s="34"/>
      <c r="P83" s="34"/>
      <c r="Q83" s="34"/>
      <c r="R83" s="34"/>
      <c r="S83" s="34"/>
      <c r="T83" s="31"/>
      <c r="U83" s="34"/>
      <c r="V83" s="34"/>
      <c r="W83" s="34"/>
      <c r="X83" s="33"/>
      <c r="Y83" s="36">
        <v>2</v>
      </c>
      <c r="Z83" s="38">
        <f>AF73+AB73-Z80*AB75^2-Z78*AF75^2</f>
        <v>156.74251348502699</v>
      </c>
      <c r="AA83" s="35">
        <v>2</v>
      </c>
      <c r="AB83" s="41">
        <f>Z83*Z84*Z85+Z83*Z86*Z87</f>
        <v>0</v>
      </c>
      <c r="AC83" s="37">
        <v>2</v>
      </c>
      <c r="AD83" s="26">
        <f>Z82*Z83-Z85^2</f>
        <v>17711.155733552096</v>
      </c>
      <c r="AE83" s="40">
        <v>2</v>
      </c>
      <c r="AF83" s="26">
        <f>IF(Z82=0,AD79/Z84,IF(Z83=0,0,IF(Z84=0,AD79/Z82,(AD79*AB85+AD78*AB86+AD80*AB87)/(AD85*AD83-AD87))))</f>
        <v>-652.94027589889652</v>
      </c>
      <c r="AK83" s="31"/>
    </row>
    <row r="84" spans="3:47">
      <c r="C84" s="30"/>
      <c r="D84" s="39">
        <v>14</v>
      </c>
      <c r="E84" s="28">
        <f>(AF78-($F$17-AD76)*AF84+($G$17-AF75)*AF83)*$H$17</f>
        <v>0</v>
      </c>
      <c r="F84" s="28">
        <f>(AF79+($E$17-AB76)*AF84-($G$17-AF76)*AF82)*$I$17</f>
        <v>0</v>
      </c>
      <c r="G84" s="28">
        <f>(AF80-($E$17-AB75)*AF83+($F$17-AD75)*AF82)*$J$17</f>
        <v>0</v>
      </c>
      <c r="I84" s="27">
        <f t="shared" si="3"/>
        <v>0</v>
      </c>
      <c r="J84" s="27">
        <f t="shared" si="4"/>
        <v>0</v>
      </c>
      <c r="K84" s="27">
        <f t="shared" si="5"/>
        <v>0</v>
      </c>
      <c r="M84" s="34">
        <v>14</v>
      </c>
      <c r="N84" s="34"/>
      <c r="O84" s="34"/>
      <c r="P84" s="34"/>
      <c r="Q84" s="34"/>
      <c r="R84" s="34"/>
      <c r="S84" s="34"/>
      <c r="T84" s="31"/>
      <c r="U84" s="34"/>
      <c r="V84" s="34"/>
      <c r="W84" s="34"/>
      <c r="X84" s="33"/>
      <c r="Y84" s="36">
        <v>3</v>
      </c>
      <c r="Z84" s="38">
        <f>AD74+AB74-Z79*AB76^2-Z78*AD76^2</f>
        <v>269.73773947547897</v>
      </c>
      <c r="AA84" s="35">
        <v>3</v>
      </c>
      <c r="AB84" s="26">
        <f>Z87*Z83^2+Z83*Z85*Z86</f>
        <v>0</v>
      </c>
      <c r="AC84" s="37">
        <v>3</v>
      </c>
      <c r="AD84" s="26">
        <f>(Z83*Z87+Z85*Z86)^2</f>
        <v>0</v>
      </c>
      <c r="AE84" s="40">
        <v>3</v>
      </c>
      <c r="AF84" s="38">
        <f>IF(Z82=0,AD80/Z83,IF(Z83=0,AD80/Z82,IF(Z84=0,0,(AD80*AB88+AD78*AB89+AD79*AB87)/(AD83*AD85-AD87))))</f>
        <v>0</v>
      </c>
    </row>
    <row r="85" spans="3:47">
      <c r="C85" s="30"/>
      <c r="D85" s="39">
        <v>15</v>
      </c>
      <c r="E85" s="28">
        <f>(AF78-($F$18-AD76)*AF84+($G$18-AF75)*AF83)*$H$18</f>
        <v>0</v>
      </c>
      <c r="F85" s="28">
        <f>(AF79+($E$18-AB76)*AF84-($G$18-AF76)*AF82)*$I$18</f>
        <v>0</v>
      </c>
      <c r="G85" s="28">
        <f>(AF80-($E$18-AB75)*AF83+($F$18-AD75)*AF82)*$J$18</f>
        <v>0</v>
      </c>
      <c r="I85" s="27">
        <f t="shared" si="3"/>
        <v>0</v>
      </c>
      <c r="J85" s="27">
        <f t="shared" si="4"/>
        <v>0</v>
      </c>
      <c r="K85" s="27">
        <f t="shared" si="5"/>
        <v>0</v>
      </c>
      <c r="M85" s="34">
        <v>15</v>
      </c>
      <c r="N85" s="34"/>
      <c r="O85" s="34"/>
      <c r="P85" s="34"/>
      <c r="Q85" s="34"/>
      <c r="R85" s="34"/>
      <c r="S85" s="34"/>
      <c r="T85" s="31"/>
      <c r="U85" s="34"/>
      <c r="V85" s="34"/>
      <c r="W85" s="34"/>
      <c r="X85" s="33"/>
      <c r="Y85" s="36">
        <v>4</v>
      </c>
      <c r="Z85" s="38">
        <f>AB70-AD75*AB75*Z80</f>
        <v>0</v>
      </c>
      <c r="AA85" s="35">
        <v>4</v>
      </c>
      <c r="AB85" s="26">
        <f>Z84*Z82^2-Z82*Z87^2</f>
        <v>3443990.1744071501</v>
      </c>
      <c r="AC85" s="37">
        <v>4</v>
      </c>
      <c r="AD85" s="26">
        <f>Z84*Z82-Z87^2</f>
        <v>30479.076830185411</v>
      </c>
    </row>
    <row r="86" spans="3:47">
      <c r="C86" s="30"/>
      <c r="D86" s="29">
        <v>16</v>
      </c>
      <c r="E86" s="28">
        <f>(AF78-($F$19-AD76)*AF84+($G$19-AF75)*AF83)*$H$19</f>
        <v>0</v>
      </c>
      <c r="F86" s="28">
        <f>(AF79+($E$19-AB76)*AF84-($G$19-AF76)*AF82)*$I$19</f>
        <v>0</v>
      </c>
      <c r="G86" s="28">
        <f>(AF80-($E$19-AB75)*AF83+($F$19-AD75)*AF82)*$J$19</f>
        <v>0</v>
      </c>
      <c r="I86" s="27">
        <f t="shared" si="3"/>
        <v>0</v>
      </c>
      <c r="J86" s="27">
        <f t="shared" si="4"/>
        <v>0</v>
      </c>
      <c r="K86" s="27">
        <f t="shared" si="5"/>
        <v>0</v>
      </c>
      <c r="M86" s="34">
        <v>16</v>
      </c>
      <c r="N86" s="34"/>
      <c r="O86" s="34"/>
      <c r="P86" s="34"/>
      <c r="Q86" s="34"/>
      <c r="R86" s="34"/>
      <c r="S86" s="34"/>
      <c r="T86" s="31"/>
      <c r="U86" s="34"/>
      <c r="V86" s="34"/>
      <c r="W86" s="34"/>
      <c r="X86" s="33"/>
      <c r="Y86" s="36">
        <v>5</v>
      </c>
      <c r="Z86" s="38">
        <f>AD70-AD76*AF75*Z78</f>
        <v>0</v>
      </c>
      <c r="AA86" s="35">
        <v>5</v>
      </c>
      <c r="AB86" s="26">
        <f>Z82*Z84*Z85+Z82*Z86*Z87</f>
        <v>0</v>
      </c>
      <c r="AC86" s="37"/>
    </row>
    <row r="87" spans="3:47">
      <c r="C87" s="30"/>
      <c r="D87" s="29">
        <v>17</v>
      </c>
      <c r="E87" s="28">
        <f>(AF78-($F$20-AD76)*AF84+($G$20-AF75)*AF83)*$H$20</f>
        <v>0</v>
      </c>
      <c r="F87" s="28">
        <f>(AF79+($E$20-AB76)*AF84-($G$20-AF76)*AF82)*$I$20</f>
        <v>0</v>
      </c>
      <c r="G87" s="28">
        <f>(AF80-($E$20-AB75)*AF83+($F$20-AD75)*AF82)*$J$20</f>
        <v>0</v>
      </c>
      <c r="I87" s="27">
        <f t="shared" si="3"/>
        <v>0</v>
      </c>
      <c r="J87" s="27">
        <f t="shared" si="4"/>
        <v>0</v>
      </c>
      <c r="K87" s="27">
        <f t="shared" si="5"/>
        <v>0</v>
      </c>
      <c r="M87" s="34">
        <v>17</v>
      </c>
      <c r="N87" s="34"/>
      <c r="O87" s="34"/>
      <c r="P87" s="34"/>
      <c r="Q87" s="34"/>
      <c r="R87" s="34"/>
      <c r="S87" s="34"/>
      <c r="T87" s="31"/>
      <c r="U87" s="34"/>
      <c r="V87" s="34"/>
      <c r="W87" s="34"/>
      <c r="X87" s="33"/>
      <c r="Y87" s="36">
        <v>6</v>
      </c>
      <c r="Z87" s="38">
        <f>AF70-AB76*AF76*Z79</f>
        <v>0</v>
      </c>
      <c r="AA87" s="35">
        <v>6</v>
      </c>
      <c r="AB87" s="26">
        <f>Z86*Z82^2+Z82*Z85*Z87</f>
        <v>0</v>
      </c>
      <c r="AC87" s="37">
        <v>6</v>
      </c>
      <c r="AD87" s="26">
        <f>(Z82*Z86+Z85*Z87)^2</f>
        <v>0</v>
      </c>
    </row>
    <row r="88" spans="3:47">
      <c r="C88" s="30"/>
      <c r="D88" s="29">
        <v>18</v>
      </c>
      <c r="E88" s="28">
        <f>(AF78-($F$21-AD76)*AF84+($G$21-AF75)*AF83)*$H$21</f>
        <v>0</v>
      </c>
      <c r="F88" s="28">
        <f>(AF79+($E$21-AB76)*AF84-($G$21-AF76)*AF82)*$I$21</f>
        <v>0</v>
      </c>
      <c r="G88" s="28">
        <f>(AF80-($E$21-AB75)*AF83+($F$21-AD75)*AF82)*$J$21</f>
        <v>0</v>
      </c>
      <c r="I88" s="27">
        <f t="shared" si="3"/>
        <v>0</v>
      </c>
      <c r="J88" s="27">
        <f t="shared" si="4"/>
        <v>0</v>
      </c>
      <c r="K88" s="27">
        <f t="shared" si="5"/>
        <v>0</v>
      </c>
      <c r="M88" s="34">
        <v>18</v>
      </c>
      <c r="N88" s="34"/>
      <c r="O88" s="34"/>
      <c r="P88" s="34"/>
      <c r="Q88" s="34"/>
      <c r="R88" s="34"/>
      <c r="S88" s="34"/>
      <c r="T88" s="31"/>
      <c r="U88" s="34"/>
      <c r="V88" s="34"/>
      <c r="W88" s="34"/>
      <c r="X88" s="33"/>
      <c r="Y88" s="36"/>
      <c r="AA88" s="35">
        <v>7</v>
      </c>
      <c r="AB88" s="26">
        <f>Z83*Z82^2-Z82*Z85^2</f>
        <v>2001276.0446648085</v>
      </c>
    </row>
    <row r="89" spans="3:47">
      <c r="C89" s="30"/>
      <c r="D89" s="29">
        <v>19</v>
      </c>
      <c r="E89" s="28">
        <f>(AF78-($F$22-AD76)*AF84+($G$22-AF75)*AF83)*$H$22</f>
        <v>0</v>
      </c>
      <c r="F89" s="28">
        <f>(AF79+($E$22-AB76)*AF84-($G$22-AF76)*AF82)*$I$22</f>
        <v>0</v>
      </c>
      <c r="G89" s="28">
        <f>(AF80-($E$22-AB75)*AF83+($F$22-AD75)*AF82)*$J$22</f>
        <v>0</v>
      </c>
      <c r="I89" s="27">
        <f t="shared" si="3"/>
        <v>0</v>
      </c>
      <c r="J89" s="27">
        <f t="shared" si="4"/>
        <v>0</v>
      </c>
      <c r="K89" s="27">
        <f t="shared" si="5"/>
        <v>0</v>
      </c>
      <c r="M89" s="34">
        <v>19</v>
      </c>
      <c r="N89" s="34"/>
      <c r="O89" s="34"/>
      <c r="P89" s="34"/>
      <c r="Q89" s="34"/>
      <c r="R89" s="34"/>
      <c r="S89" s="34"/>
      <c r="T89" s="31"/>
      <c r="U89" s="34"/>
      <c r="V89" s="34"/>
      <c r="W89" s="34"/>
      <c r="X89" s="33"/>
      <c r="AA89" s="35">
        <v>8</v>
      </c>
      <c r="AB89" s="26">
        <f>Z82*Z83*Z87+Z82*Z86*Z85</f>
        <v>0</v>
      </c>
    </row>
    <row r="90" spans="3:47">
      <c r="C90" s="30"/>
      <c r="D90" s="29">
        <v>20</v>
      </c>
      <c r="E90" s="28">
        <f>(AF78-($F$23-AD76)*AF84+($G$23-AF75)*AF83)*$H$23</f>
        <v>0</v>
      </c>
      <c r="F90" s="28">
        <f>(AF79+($E$23-AB76)*AF84-($G$23-AF76)*AF82)*$I$23</f>
        <v>0</v>
      </c>
      <c r="G90" s="28">
        <f>(AF80-($E$23-AB75)*AF83+($F$23-AD75)*AF82)*$J$23</f>
        <v>0</v>
      </c>
      <c r="I90" s="27">
        <f t="shared" si="3"/>
        <v>0</v>
      </c>
      <c r="J90" s="27">
        <f t="shared" si="4"/>
        <v>0</v>
      </c>
      <c r="K90" s="27">
        <f t="shared" si="5"/>
        <v>0</v>
      </c>
      <c r="M90" s="34">
        <v>20</v>
      </c>
      <c r="N90" s="34"/>
      <c r="O90" s="34"/>
      <c r="P90" s="34"/>
      <c r="Q90" s="34"/>
      <c r="R90" s="34"/>
      <c r="S90" s="34"/>
      <c r="T90" s="31"/>
      <c r="U90" s="34"/>
      <c r="V90" s="34"/>
      <c r="W90" s="34"/>
      <c r="X90" s="33"/>
      <c r="Y90" s="33"/>
      <c r="Z90" s="33"/>
      <c r="AA90" s="33"/>
      <c r="AB90" s="33"/>
      <c r="AC90" s="33"/>
      <c r="AD90" s="33"/>
    </row>
    <row r="91" spans="3:47">
      <c r="C91" s="30"/>
      <c r="D91" s="29">
        <v>21</v>
      </c>
      <c r="E91" s="28">
        <f>(AF78-($F$24-AD76)*AF84+($G$24-AF75)*AF83)*$H$24</f>
        <v>0</v>
      </c>
      <c r="F91" s="28">
        <f>(AF79+($E$24-AB76)*AF84-($G$24-AF76)*AF82)*$I$24</f>
        <v>0</v>
      </c>
      <c r="G91" s="28">
        <f>(AF80-($E$24-AB75)*AF83+($F$24-AD75)*AF82)*$J$24</f>
        <v>0</v>
      </c>
      <c r="I91" s="27">
        <f t="shared" si="3"/>
        <v>0</v>
      </c>
      <c r="J91" s="27">
        <f t="shared" si="4"/>
        <v>0</v>
      </c>
      <c r="K91" s="27">
        <f t="shared" si="5"/>
        <v>0</v>
      </c>
      <c r="M91" s="34">
        <v>21</v>
      </c>
      <c r="N91" s="34"/>
      <c r="O91" s="34"/>
      <c r="P91" s="34"/>
      <c r="Q91" s="34"/>
      <c r="R91" s="34"/>
      <c r="S91" s="34"/>
      <c r="T91" s="31"/>
      <c r="U91" s="34"/>
      <c r="V91" s="34"/>
      <c r="W91" s="34"/>
      <c r="X91" s="33"/>
      <c r="Y91" s="33"/>
      <c r="Z91" s="33"/>
      <c r="AA91" s="33"/>
      <c r="AB91" s="33"/>
      <c r="AC91" s="33"/>
      <c r="AD91" s="33"/>
    </row>
    <row r="92" spans="3:47">
      <c r="C92" s="30"/>
      <c r="D92" s="29">
        <v>22</v>
      </c>
      <c r="E92" s="28">
        <f>(AF78-($F$25-AD76)*AF84+($G$25-AF75)*AF83)*$H$25</f>
        <v>0</v>
      </c>
      <c r="F92" s="28">
        <f>(AF79+($E$25-AB76)*AF84-($G$25-AF76)*AF82)*$I$25</f>
        <v>0</v>
      </c>
      <c r="G92" s="28">
        <f>(AF80-($E$25-AB75)*AF83+($F$25-AD75)*AF82)*$J$25</f>
        <v>0</v>
      </c>
      <c r="I92" s="27">
        <f t="shared" si="3"/>
        <v>0</v>
      </c>
      <c r="J92" s="27">
        <f t="shared" si="4"/>
        <v>0</v>
      </c>
      <c r="K92" s="27">
        <f t="shared" si="5"/>
        <v>0</v>
      </c>
      <c r="M92" s="34">
        <v>22</v>
      </c>
      <c r="N92" s="34"/>
      <c r="O92" s="34"/>
      <c r="P92" s="34"/>
      <c r="Q92" s="34"/>
      <c r="R92" s="34"/>
      <c r="S92" s="34"/>
      <c r="T92" s="31"/>
      <c r="U92" s="34"/>
      <c r="V92" s="34"/>
      <c r="W92" s="34"/>
      <c r="X92" s="33"/>
      <c r="Y92" s="33"/>
      <c r="Z92" s="33"/>
      <c r="AA92" s="33"/>
      <c r="AB92" s="33"/>
      <c r="AC92" s="33"/>
      <c r="AD92" s="33"/>
    </row>
    <row r="93" spans="3:47">
      <c r="C93" s="30"/>
      <c r="D93" s="29">
        <v>23</v>
      </c>
      <c r="E93" s="28">
        <f>(AF78-($F$26-AD76)*AF84+($G$26-AF75)*AF83)*$H$26</f>
        <v>0</v>
      </c>
      <c r="F93" s="28">
        <f>(AF79+($E$26-AB76)*AF84-($G$26-AF76)*AF82)*$I$26</f>
        <v>0</v>
      </c>
      <c r="G93" s="28">
        <f>(AF80-($E$26-AB75)*AF83+($F$26-AD75)*AF82)*$J$26</f>
        <v>0</v>
      </c>
      <c r="I93" s="27">
        <f t="shared" si="3"/>
        <v>0</v>
      </c>
      <c r="J93" s="27">
        <f t="shared" si="4"/>
        <v>0</v>
      </c>
      <c r="K93" s="27">
        <f t="shared" si="5"/>
        <v>0</v>
      </c>
      <c r="M93" s="34">
        <v>23</v>
      </c>
      <c r="N93" s="34"/>
      <c r="O93" s="34"/>
      <c r="P93" s="34"/>
      <c r="Q93" s="34"/>
      <c r="R93" s="34"/>
      <c r="S93" s="34"/>
      <c r="T93" s="31"/>
      <c r="U93" s="34"/>
      <c r="V93" s="34"/>
      <c r="W93" s="34"/>
      <c r="X93" s="33"/>
      <c r="Y93" s="33"/>
      <c r="Z93" s="33"/>
      <c r="AA93" s="33"/>
      <c r="AB93" s="33"/>
      <c r="AC93" s="33"/>
      <c r="AD93" s="33"/>
    </row>
    <row r="94" spans="3:47">
      <c r="C94" s="30"/>
      <c r="D94" s="29">
        <v>24</v>
      </c>
      <c r="E94" s="28">
        <f>(AF78-($F$27-AD76)*AF84+($G$27-AF75)*AF83)*$H$27</f>
        <v>0</v>
      </c>
      <c r="F94" s="28">
        <f>(AF79+($E$27-AB76)*AF84-($G$27-AF76)*AF82)*$I$27</f>
        <v>0</v>
      </c>
      <c r="G94" s="28">
        <f>(AF80-($E$27-AB75)*AF83+($F$27-AD75)*AF82)*$J$27</f>
        <v>0</v>
      </c>
      <c r="I94" s="27">
        <f t="shared" si="3"/>
        <v>0</v>
      </c>
      <c r="J94" s="27">
        <f t="shared" si="4"/>
        <v>0</v>
      </c>
      <c r="K94" s="27">
        <f t="shared" si="5"/>
        <v>0</v>
      </c>
      <c r="L94" s="31"/>
      <c r="M94" s="34">
        <v>24</v>
      </c>
      <c r="N94" s="34"/>
      <c r="O94" s="34"/>
      <c r="P94" s="34"/>
      <c r="Q94" s="34"/>
      <c r="R94" s="34"/>
      <c r="S94" s="34"/>
      <c r="T94" s="31"/>
      <c r="U94" s="34"/>
      <c r="V94" s="34"/>
      <c r="W94" s="34"/>
      <c r="X94" s="33"/>
      <c r="Y94" s="33"/>
      <c r="Z94" s="33"/>
      <c r="AA94" s="33"/>
      <c r="AB94" s="33"/>
      <c r="AC94" s="33"/>
      <c r="AD94" s="33"/>
      <c r="AF94" s="31"/>
      <c r="AG94" s="31"/>
      <c r="AH94" s="31"/>
      <c r="AI94" s="31"/>
      <c r="AJ94" s="31"/>
      <c r="AM94" s="31"/>
      <c r="AN94" s="31"/>
      <c r="AO94" s="31"/>
      <c r="AP94" s="31"/>
      <c r="AQ94" s="31"/>
      <c r="AR94" s="31"/>
      <c r="AS94" s="31"/>
      <c r="AT94" s="31"/>
      <c r="AU94" s="31"/>
    </row>
    <row r="95" spans="3:47">
      <c r="C95" s="30"/>
      <c r="D95" s="29">
        <v>25</v>
      </c>
      <c r="E95" s="28">
        <f>(AF78-($F$28-AD76)*AF84+($G$28-AF75)*AF83)*$H$28</f>
        <v>0</v>
      </c>
      <c r="F95" s="28">
        <f>(AF79+($E$28-AB76)*AF84-($G$28-AF76)*AF82)*$I$28</f>
        <v>0</v>
      </c>
      <c r="G95" s="28">
        <f>(AF80-($E$28-AB75)*AF83+($F$28-AD75)*AF82)*$J$28</f>
        <v>0</v>
      </c>
      <c r="I95" s="27">
        <f t="shared" si="3"/>
        <v>0</v>
      </c>
      <c r="J95" s="27">
        <f t="shared" si="4"/>
        <v>0</v>
      </c>
      <c r="K95" s="27">
        <f t="shared" si="5"/>
        <v>0</v>
      </c>
      <c r="M95" s="34">
        <v>25</v>
      </c>
      <c r="N95" s="34"/>
      <c r="O95" s="34"/>
      <c r="P95" s="34"/>
      <c r="Q95" s="34"/>
      <c r="R95" s="34"/>
      <c r="S95" s="34"/>
      <c r="T95" s="31"/>
      <c r="U95" s="34"/>
      <c r="V95" s="34"/>
      <c r="W95" s="34"/>
      <c r="X95" s="33"/>
      <c r="Y95" s="33"/>
      <c r="Z95" s="33"/>
      <c r="AA95" s="33"/>
      <c r="AB95" s="33"/>
      <c r="AC95" s="33"/>
      <c r="AD95" s="33"/>
    </row>
    <row r="96" spans="3:47">
      <c r="C96" s="30"/>
      <c r="D96" s="29">
        <v>26</v>
      </c>
      <c r="E96" s="28">
        <f>(AF78-($F$29-AD76)*AF84+($G$29-AF75)*AF83)*$H$29</f>
        <v>0</v>
      </c>
      <c r="F96" s="28">
        <f>(AF79+($E$29-AB76)*AF84-($G$29-AF76)*AF82)*$I$29</f>
        <v>0</v>
      </c>
      <c r="G96" s="28">
        <f>(AF80-($E$29-AB75)*AF83+($F$29-AD75)*AF82)*$J$29</f>
        <v>0</v>
      </c>
      <c r="I96" s="27">
        <f t="shared" si="3"/>
        <v>0</v>
      </c>
      <c r="J96" s="27">
        <f t="shared" si="4"/>
        <v>0</v>
      </c>
      <c r="K96" s="27">
        <f t="shared" si="5"/>
        <v>0</v>
      </c>
      <c r="M96" s="33"/>
      <c r="N96" s="33"/>
      <c r="O96" s="33"/>
      <c r="P96" s="33"/>
      <c r="Q96" s="33"/>
      <c r="R96" s="33"/>
      <c r="S96" s="33"/>
      <c r="U96" s="33"/>
      <c r="V96" s="33"/>
      <c r="W96" s="33"/>
      <c r="X96" s="33"/>
      <c r="Y96" s="33"/>
      <c r="Z96" s="33"/>
      <c r="AA96" s="33"/>
      <c r="AB96" s="33"/>
      <c r="AC96" s="33"/>
      <c r="AD96" s="33"/>
      <c r="AK96" s="31"/>
      <c r="AL96" s="31"/>
    </row>
    <row r="97" spans="3:38">
      <c r="C97" s="30"/>
      <c r="D97" s="29">
        <v>27</v>
      </c>
      <c r="E97" s="28">
        <f>(AF78-($F$30-AD76)*AF84+($G$30-AF75)*AF83)*$H$30</f>
        <v>0</v>
      </c>
      <c r="F97" s="28">
        <f>(AF79+($E$30-AB76)*AF84-($G$30-AF76)*AF82)*$I$30</f>
        <v>0</v>
      </c>
      <c r="G97" s="28">
        <f>(AF80-($E$30-AB75)*AF83+($F$30-AD75)*AF82)*$J$30</f>
        <v>0</v>
      </c>
      <c r="I97" s="27">
        <f t="shared" si="3"/>
        <v>0</v>
      </c>
      <c r="J97" s="27">
        <f t="shared" si="4"/>
        <v>0</v>
      </c>
      <c r="K97" s="27">
        <f t="shared" si="5"/>
        <v>0</v>
      </c>
      <c r="M97" s="31"/>
      <c r="N97" s="32"/>
      <c r="O97" s="32"/>
      <c r="P97" s="32"/>
      <c r="Q97" s="31"/>
      <c r="R97" s="31"/>
      <c r="S97" s="31"/>
      <c r="T97" s="31"/>
      <c r="U97" s="31"/>
      <c r="V97" s="31"/>
      <c r="W97" s="31"/>
      <c r="X97" s="31"/>
      <c r="Y97" s="31"/>
      <c r="Z97" s="31"/>
      <c r="AA97" s="31"/>
      <c r="AB97" s="31"/>
      <c r="AC97" s="31"/>
      <c r="AD97" s="31"/>
      <c r="AE97" s="31"/>
    </row>
    <row r="98" spans="3:38">
      <c r="C98" s="30"/>
      <c r="D98" s="29">
        <v>28</v>
      </c>
      <c r="E98" s="28">
        <f>(AF78-($F$31-AD76)*AF84+($G$31-AF75)*AF83)*$H$31</f>
        <v>0</v>
      </c>
      <c r="F98" s="28">
        <f>(AF79+($E$31-AB76)*AF84-($G$31-AF76)*AF82)*$I$31</f>
        <v>0</v>
      </c>
      <c r="G98" s="28">
        <f>(AF80-($E$31-AB75)*AF83+($F$31-AD75)*AF82)*$J$31</f>
        <v>0</v>
      </c>
      <c r="I98" s="27">
        <f t="shared" si="3"/>
        <v>0</v>
      </c>
      <c r="J98" s="27">
        <f t="shared" si="4"/>
        <v>0</v>
      </c>
      <c r="K98" s="27">
        <f t="shared" si="5"/>
        <v>0</v>
      </c>
    </row>
    <row r="99" spans="3:38">
      <c r="C99" s="30"/>
      <c r="D99" s="29">
        <v>29</v>
      </c>
      <c r="E99" s="28">
        <f>(AF78-($F$32-AD76)*AF84+($G$32-AF75)*AF83)*$H$32</f>
        <v>0</v>
      </c>
      <c r="F99" s="28">
        <f>(AF79+($E$32-AB76)*AF84-($G$32-AF76)*AF82)*$I$32</f>
        <v>0</v>
      </c>
      <c r="G99" s="28">
        <f>(AF80-($E$32-AB75)*AF83+($F$32-AD75)*AF82)*$J$32</f>
        <v>0</v>
      </c>
      <c r="I99" s="27">
        <f t="shared" si="3"/>
        <v>0</v>
      </c>
      <c r="J99" s="27">
        <f t="shared" si="4"/>
        <v>0</v>
      </c>
      <c r="K99" s="27">
        <f t="shared" si="5"/>
        <v>0</v>
      </c>
    </row>
    <row r="101" spans="3:38" ht="15.6">
      <c r="C101" s="52" t="str">
        <f>PURPOSE!C34</f>
        <v>25.561(b)(2)(iii)</v>
      </c>
      <c r="D101" s="51"/>
      <c r="E101" s="51"/>
      <c r="F101" s="51"/>
    </row>
    <row r="102" spans="3:38">
      <c r="AK102" s="31"/>
      <c r="AL102" s="45"/>
    </row>
    <row r="103" spans="3:38" ht="33.6">
      <c r="C103" s="49" t="s">
        <v>98</v>
      </c>
      <c r="D103" s="49" t="s">
        <v>97</v>
      </c>
      <c r="E103" s="49" t="s">
        <v>96</v>
      </c>
      <c r="F103" s="49" t="s">
        <v>95</v>
      </c>
      <c r="G103" s="49" t="s">
        <v>94</v>
      </c>
      <c r="H103" s="50"/>
      <c r="I103" s="49" t="s">
        <v>93</v>
      </c>
      <c r="J103" s="49" t="s">
        <v>92</v>
      </c>
      <c r="K103" s="49" t="s">
        <v>91</v>
      </c>
      <c r="M103" s="49" t="s">
        <v>13</v>
      </c>
      <c r="N103" s="49" t="s">
        <v>90</v>
      </c>
      <c r="O103" s="49" t="s">
        <v>89</v>
      </c>
      <c r="P103" s="49" t="s">
        <v>88</v>
      </c>
      <c r="Q103" s="49" t="s">
        <v>87</v>
      </c>
      <c r="R103" s="49" t="s">
        <v>86</v>
      </c>
      <c r="S103" s="49" t="s">
        <v>85</v>
      </c>
      <c r="T103" s="31"/>
      <c r="U103" s="49" t="s">
        <v>84</v>
      </c>
      <c r="V103" s="49" t="s">
        <v>83</v>
      </c>
      <c r="W103" s="49" t="s">
        <v>82</v>
      </c>
      <c r="X103" s="33"/>
      <c r="Y103" s="34" t="s">
        <v>81</v>
      </c>
      <c r="Z103" s="34">
        <v>1</v>
      </c>
      <c r="AA103" s="33" t="s">
        <v>80</v>
      </c>
      <c r="AB103" s="45">
        <f>SUMPRODUCT($J$4:$J$32,$E$4:$E$32,$F$4:$F$32)</f>
        <v>0</v>
      </c>
      <c r="AC103" s="33" t="s">
        <v>79</v>
      </c>
      <c r="AD103" s="45">
        <f>SUMPRODUCT(H70:H98,F70:F98,G70:G98)</f>
        <v>0</v>
      </c>
      <c r="AE103" s="33" t="s">
        <v>78</v>
      </c>
      <c r="AF103" s="45">
        <f>SUMPRODUCT($I$4:$I$32,$E$4:$E$32,$G$4:$G$32)</f>
        <v>0</v>
      </c>
      <c r="AK103" s="31"/>
    </row>
    <row r="104" spans="3:38">
      <c r="C104" s="30" t="s">
        <v>77</v>
      </c>
      <c r="D104" s="39">
        <v>1</v>
      </c>
      <c r="E104" s="43">
        <f>(AF111-($F$4-AD109)*AF117+($G$4-AF108)*AF116)*$H$4</f>
        <v>-64.308725951592891</v>
      </c>
      <c r="F104" s="43">
        <f>(AF112+($E$4-AB109)*AF117-($G$4-AF109)*AF115)*$I$4</f>
        <v>66.402361657012818</v>
      </c>
      <c r="G104" s="43">
        <f>(AF113-($E$4-AB108)*AF116+($F$4-AD108)*AF115)*$J$4</f>
        <v>-802.32249999999976</v>
      </c>
      <c r="H104" s="42"/>
      <c r="I104" s="27">
        <f t="shared" ref="I104:I132" si="6">SQRT(E104^2+F104^2)</f>
        <v>92.438551844702786</v>
      </c>
      <c r="J104" s="27">
        <f t="shared" ref="J104:J132" si="7">SQRT(E104^2+G104^2)</f>
        <v>804.89564928614607</v>
      </c>
      <c r="K104" s="27">
        <f t="shared" ref="K104:K132" si="8">SQRT(F104^2+G104^2)</f>
        <v>805.06562939916785</v>
      </c>
      <c r="M104" s="34">
        <v>1</v>
      </c>
      <c r="N104" s="47">
        <f>N38</f>
        <v>12</v>
      </c>
      <c r="O104" s="47">
        <f>PURPOSE!E25</f>
        <v>0</v>
      </c>
      <c r="P104" s="47">
        <f>P71</f>
        <v>30</v>
      </c>
      <c r="Q104" s="48">
        <f>PURPOSE!E48</f>
        <v>0</v>
      </c>
      <c r="R104" s="48">
        <f>PURPOSE!F48</f>
        <v>568.57500000000005</v>
      </c>
      <c r="S104" s="48">
        <f>PURPOSE!G48</f>
        <v>0</v>
      </c>
      <c r="T104" s="31"/>
      <c r="U104" s="34">
        <v>0</v>
      </c>
      <c r="V104" s="34">
        <v>0</v>
      </c>
      <c r="W104" s="34">
        <v>0</v>
      </c>
      <c r="X104" s="33"/>
      <c r="Y104" s="34" t="s">
        <v>76</v>
      </c>
      <c r="Z104" s="34">
        <v>1</v>
      </c>
      <c r="AA104" s="33" t="s">
        <v>75</v>
      </c>
      <c r="AB104" s="45">
        <f>SUMPRODUCT($J$4:$J$32,$E$4:$E$32)</f>
        <v>25.039370078740159</v>
      </c>
      <c r="AC104" s="33" t="s">
        <v>74</v>
      </c>
      <c r="AD104" s="45">
        <f>SUMPRODUCT($J$4:$J$32,$F$4:$F$32)</f>
        <v>0</v>
      </c>
      <c r="AE104" s="33" t="s">
        <v>73</v>
      </c>
      <c r="AF104" s="45">
        <f>SUMPRODUCT($H$4:$H$32,$G$4:$G$32)</f>
        <v>0</v>
      </c>
      <c r="AK104" s="31"/>
    </row>
    <row r="105" spans="3:38">
      <c r="C105" s="30" t="s">
        <v>72</v>
      </c>
      <c r="D105" s="39">
        <v>2</v>
      </c>
      <c r="E105" s="43">
        <f>(AF111-($F$5-AD109)*AF117+($G$5-AF108)*AF116)*$H$5</f>
        <v>64.308725951592891</v>
      </c>
      <c r="F105" s="43">
        <f>(AF112+($E$5-AB109)*AF117-($G$5-AF109)*AF115)*$I$5</f>
        <v>66.402361657012818</v>
      </c>
      <c r="G105" s="43">
        <f>(AF113-($E$5-AB108)*AF116+($F$5-AD108)*AF115)*$J$5</f>
        <v>802.32249999999976</v>
      </c>
      <c r="H105" s="42"/>
      <c r="I105" s="27">
        <f t="shared" si="6"/>
        <v>92.438551844702786</v>
      </c>
      <c r="J105" s="27">
        <f t="shared" si="7"/>
        <v>804.89564928614607</v>
      </c>
      <c r="K105" s="27">
        <f t="shared" si="8"/>
        <v>805.06562939916785</v>
      </c>
      <c r="M105" s="34">
        <v>2</v>
      </c>
      <c r="N105" s="47"/>
      <c r="O105" s="47"/>
      <c r="P105" s="47"/>
      <c r="Q105" s="47"/>
      <c r="R105" s="46"/>
      <c r="S105" s="46"/>
      <c r="T105" s="31"/>
      <c r="U105" s="34"/>
      <c r="V105" s="34"/>
      <c r="W105" s="34"/>
      <c r="X105" s="33"/>
      <c r="Y105" s="34" t="s">
        <v>71</v>
      </c>
      <c r="Z105" s="34">
        <v>0</v>
      </c>
      <c r="AA105" s="33" t="s">
        <v>70</v>
      </c>
      <c r="AB105" s="45">
        <f>SUMPRODUCT($I$4:$I$32,$E$4:$E$32)</f>
        <v>25.039370078740159</v>
      </c>
      <c r="AC105" s="33" t="s">
        <v>69</v>
      </c>
      <c r="AD105" s="45">
        <f>SUMPRODUCT($H$4:$H$32,$F$4:$F$32)</f>
        <v>0</v>
      </c>
      <c r="AE105" s="33" t="s">
        <v>68</v>
      </c>
      <c r="AF105" s="45">
        <f>SUMPRODUCT($I$4:$I$32,$G$4:$G$32)</f>
        <v>0</v>
      </c>
      <c r="AK105" s="31"/>
    </row>
    <row r="106" spans="3:38">
      <c r="C106" s="30" t="s">
        <v>67</v>
      </c>
      <c r="D106" s="39">
        <v>3</v>
      </c>
      <c r="E106" s="43">
        <f>(AF111-($F$6-AD109)*AF117+($G$6-AF108)*AF116)*$H$6</f>
        <v>-64.308725951592891</v>
      </c>
      <c r="F106" s="43">
        <f>(AF112+($E$6-AB109)*AF117-($G$6-AF109)*AF115)*$I$6</f>
        <v>217.8851383429872</v>
      </c>
      <c r="G106" s="43">
        <f>(AF113-($E$6-AB108)*AF116+($F$6-AD108)*AF115)*$J$6</f>
        <v>-802.32249999999976</v>
      </c>
      <c r="H106" s="42"/>
      <c r="I106" s="27">
        <f t="shared" si="6"/>
        <v>227.17734425831233</v>
      </c>
      <c r="J106" s="27">
        <f t="shared" si="7"/>
        <v>804.89564928614607</v>
      </c>
      <c r="K106" s="27">
        <f t="shared" si="8"/>
        <v>831.3815775665181</v>
      </c>
      <c r="M106" s="34">
        <v>3</v>
      </c>
      <c r="N106" s="34"/>
      <c r="O106" s="34"/>
      <c r="P106" s="34"/>
      <c r="Q106" s="34"/>
      <c r="R106" s="34"/>
      <c r="S106" s="34"/>
      <c r="T106" s="31"/>
      <c r="U106" s="34"/>
      <c r="V106" s="34"/>
      <c r="W106" s="34"/>
      <c r="X106" s="33"/>
      <c r="Y106" s="34" t="s">
        <v>66</v>
      </c>
      <c r="Z106" s="34">
        <v>1</v>
      </c>
      <c r="AA106" s="33" t="s">
        <v>65</v>
      </c>
      <c r="AB106" s="45">
        <f>SUMPRODUCT($J$4:$J$32,POWER($E$4:$E$32,2))</f>
        <v>313.48502697005398</v>
      </c>
      <c r="AC106" s="33" t="s">
        <v>64</v>
      </c>
      <c r="AD106" s="45">
        <f>SUMPRODUCT($J$4:$J$32*POWER($F$4:$F$32,2))</f>
        <v>112.995225990452</v>
      </c>
      <c r="AE106" s="33" t="s">
        <v>63</v>
      </c>
      <c r="AF106" s="45">
        <f>SUMPRODUCT($H$4:$H$32,POWER($G$4:$G$32,2))</f>
        <v>0</v>
      </c>
      <c r="AK106" s="31"/>
    </row>
    <row r="107" spans="3:38">
      <c r="C107" s="30" t="s">
        <v>62</v>
      </c>
      <c r="D107" s="39">
        <v>4</v>
      </c>
      <c r="E107" s="43">
        <f>(AF111-($F$7-AD109)*AF117+($G$7-AF108)*AF116)*$H$7</f>
        <v>64.308725951592891</v>
      </c>
      <c r="F107" s="43">
        <f>(AF112+($E$7-AB109)*AF117-($G$7-AF109)*AF115)*$I$7</f>
        <v>217.8851383429872</v>
      </c>
      <c r="G107" s="43">
        <f>(AF113-($E$7-AB108)*AF116+($F$7-AD108)*AF115)*$J$7</f>
        <v>802.32249999999976</v>
      </c>
      <c r="H107" s="42"/>
      <c r="I107" s="27">
        <f t="shared" si="6"/>
        <v>227.17734425831233</v>
      </c>
      <c r="J107" s="27">
        <f t="shared" si="7"/>
        <v>804.89564928614607</v>
      </c>
      <c r="K107" s="27">
        <f t="shared" si="8"/>
        <v>831.3815775665181</v>
      </c>
      <c r="M107" s="34">
        <v>4</v>
      </c>
      <c r="N107" s="34"/>
      <c r="O107" s="34"/>
      <c r="P107" s="34"/>
      <c r="Q107" s="34"/>
      <c r="R107" s="34"/>
      <c r="S107" s="34"/>
      <c r="T107" s="31"/>
      <c r="U107" s="34"/>
      <c r="V107" s="34"/>
      <c r="W107" s="34"/>
      <c r="X107" s="33"/>
      <c r="Y107" s="34" t="s">
        <v>61</v>
      </c>
      <c r="Z107" s="34">
        <v>1</v>
      </c>
      <c r="AA107" s="33" t="s">
        <v>60</v>
      </c>
      <c r="AB107" s="45">
        <f>SUMPRODUCT($I$4:$I$32,POWER($E$4:$E$32,2))</f>
        <v>313.48502697005398</v>
      </c>
      <c r="AC107" s="33" t="s">
        <v>59</v>
      </c>
      <c r="AD107" s="45">
        <f>SUMPRODUCT($H$4:$H$32,POWER($F$4:$F$32,2))</f>
        <v>112.995225990452</v>
      </c>
      <c r="AE107" s="33" t="s">
        <v>58</v>
      </c>
      <c r="AF107" s="45">
        <f>SUMPRODUCT($I$4:$I$32,POWER($G$4:$G$32,2))</f>
        <v>0</v>
      </c>
      <c r="AK107" s="31"/>
    </row>
    <row r="108" spans="3:38">
      <c r="C108" s="30" t="s">
        <v>57</v>
      </c>
      <c r="D108" s="39">
        <v>5</v>
      </c>
      <c r="E108" s="43">
        <f>(AF111-($F$8-AD109)*AF117+($G$8-AF108)*AF116)*$H$8</f>
        <v>0</v>
      </c>
      <c r="F108" s="43">
        <f>(AF112+($E$8-AB109)*AF117-($G$8-AF109)*AF115)*$I$8</f>
        <v>0</v>
      </c>
      <c r="G108" s="43">
        <f>(AF113-($E$8-AB108)*AF116+($F$8-AD108)*AF115)*$J$8</f>
        <v>0</v>
      </c>
      <c r="H108" s="42"/>
      <c r="I108" s="27">
        <f t="shared" si="6"/>
        <v>0</v>
      </c>
      <c r="J108" s="27">
        <f t="shared" si="7"/>
        <v>0</v>
      </c>
      <c r="K108" s="27">
        <f t="shared" si="8"/>
        <v>0</v>
      </c>
      <c r="M108" s="34">
        <v>5</v>
      </c>
      <c r="N108" s="34"/>
      <c r="O108" s="34"/>
      <c r="P108" s="34"/>
      <c r="Q108" s="34"/>
      <c r="R108" s="34"/>
      <c r="S108" s="34"/>
      <c r="T108" s="31"/>
      <c r="U108" s="34"/>
      <c r="V108" s="34"/>
      <c r="W108" s="34"/>
      <c r="X108" s="33"/>
      <c r="Y108" s="34" t="s">
        <v>56</v>
      </c>
      <c r="Z108" s="34">
        <v>0</v>
      </c>
      <c r="AA108" s="33" t="s">
        <v>55</v>
      </c>
      <c r="AB108" s="45">
        <f>IF(Z113=0,0,AB104/Z113)</f>
        <v>6.2598425196850398</v>
      </c>
      <c r="AC108" s="33" t="s">
        <v>54</v>
      </c>
      <c r="AD108" s="45">
        <f>IF(Z113=0,0,AD104/Z113)</f>
        <v>0</v>
      </c>
      <c r="AE108" s="33" t="s">
        <v>53</v>
      </c>
      <c r="AF108" s="45">
        <f>IF(Z111=0,0,AF104/Z111)</f>
        <v>0</v>
      </c>
      <c r="AK108" s="31"/>
    </row>
    <row r="109" spans="3:38">
      <c r="C109" s="30" t="s">
        <v>52</v>
      </c>
      <c r="D109" s="39">
        <v>6</v>
      </c>
      <c r="E109" s="43">
        <f>(AF111-($F$9-AD109)*AF117+($G$9-AF108)*AF116)*$H$9</f>
        <v>0</v>
      </c>
      <c r="F109" s="43">
        <f>(AF112+($E$9-AB109)*AF117-($G$9-AF109)*AF115)*$I$9</f>
        <v>0</v>
      </c>
      <c r="G109" s="43">
        <f>(AF113-($E$9-AB108)*AF116+($F$9-AD108)*AF115)*$J$9</f>
        <v>0</v>
      </c>
      <c r="H109" s="42"/>
      <c r="I109" s="27">
        <f t="shared" si="6"/>
        <v>0</v>
      </c>
      <c r="J109" s="27">
        <f t="shared" si="7"/>
        <v>0</v>
      </c>
      <c r="K109" s="27">
        <f t="shared" si="8"/>
        <v>0</v>
      </c>
      <c r="M109" s="34">
        <v>6</v>
      </c>
      <c r="N109" s="34"/>
      <c r="O109" s="34"/>
      <c r="P109" s="34"/>
      <c r="Q109" s="34"/>
      <c r="R109" s="34"/>
      <c r="S109" s="34"/>
      <c r="T109" s="31"/>
      <c r="U109" s="34"/>
      <c r="V109" s="34"/>
      <c r="W109" s="34"/>
      <c r="X109" s="33"/>
      <c r="Y109" s="34" t="s">
        <v>12</v>
      </c>
      <c r="Z109" s="34"/>
      <c r="AA109" s="33" t="s">
        <v>51</v>
      </c>
      <c r="AB109" s="45">
        <f>IF(Z112=0,0,AB105/Z112)</f>
        <v>6.2598425196850398</v>
      </c>
      <c r="AC109" s="33" t="s">
        <v>50</v>
      </c>
      <c r="AD109" s="45">
        <f>IF(Z111=0,0,AD105/Z111)</f>
        <v>0</v>
      </c>
      <c r="AE109" s="33" t="s">
        <v>49</v>
      </c>
      <c r="AF109" s="45">
        <f>IF(Z112=0,0,AF105/Z112)</f>
        <v>0</v>
      </c>
      <c r="AK109" s="31"/>
    </row>
    <row r="110" spans="3:38">
      <c r="C110" s="30" t="s">
        <v>48</v>
      </c>
      <c r="D110" s="39">
        <v>7</v>
      </c>
      <c r="E110" s="43">
        <f>(AF111-($F$10-AD109)*AF117+($G$10-AF108)*AF116)*$H$10</f>
        <v>0</v>
      </c>
      <c r="F110" s="43">
        <f>(AF112+($E$10-AB109)*AF117-($G$10-AF109)*AF115)*$I$10</f>
        <v>0</v>
      </c>
      <c r="G110" s="43">
        <f>(AF113-($E$10-AB108)*AF116+($F$10-AD108)*AF115)*$J$10</f>
        <v>0</v>
      </c>
      <c r="H110" s="42"/>
      <c r="I110" s="27">
        <f t="shared" si="6"/>
        <v>0</v>
      </c>
      <c r="J110" s="27">
        <f t="shared" si="7"/>
        <v>0</v>
      </c>
      <c r="K110" s="27">
        <f t="shared" si="8"/>
        <v>0</v>
      </c>
      <c r="M110" s="34">
        <v>7</v>
      </c>
      <c r="N110" s="34"/>
      <c r="O110" s="34"/>
      <c r="P110" s="34"/>
      <c r="Q110" s="34"/>
      <c r="R110" s="34"/>
      <c r="S110" s="34"/>
      <c r="T110" s="31"/>
      <c r="U110" s="34"/>
      <c r="V110" s="34"/>
      <c r="W110" s="34"/>
      <c r="X110" s="33"/>
      <c r="Y110" s="34" t="s">
        <v>47</v>
      </c>
      <c r="Z110" s="34"/>
      <c r="AK110" s="31"/>
    </row>
    <row r="111" spans="3:38">
      <c r="C111" s="30" t="s">
        <v>46</v>
      </c>
      <c r="D111" s="39">
        <v>8</v>
      </c>
      <c r="E111" s="43">
        <f>(AF111-($F$11-AD109)*AF117+($G$11-AF108)*AF116)*$H$11</f>
        <v>0</v>
      </c>
      <c r="F111" s="43">
        <f>(AF112+($E$11-AB109)*AF117-($G$11-AF109)*AF115)*$I$11</f>
        <v>0</v>
      </c>
      <c r="G111" s="43">
        <f>(AF113-($E$11-AB108)*AF116+($F$11-AD108)*AF115)*$J$11</f>
        <v>0</v>
      </c>
      <c r="H111" s="42"/>
      <c r="I111" s="27">
        <f t="shared" si="6"/>
        <v>0</v>
      </c>
      <c r="J111" s="27">
        <f t="shared" si="7"/>
        <v>0</v>
      </c>
      <c r="K111" s="27">
        <f t="shared" si="8"/>
        <v>0</v>
      </c>
      <c r="M111" s="34">
        <v>8</v>
      </c>
      <c r="N111" s="34"/>
      <c r="O111" s="34"/>
      <c r="P111" s="34"/>
      <c r="Q111" s="34"/>
      <c r="R111" s="34"/>
      <c r="S111" s="34"/>
      <c r="T111" s="31"/>
      <c r="U111" s="34"/>
      <c r="V111" s="34"/>
      <c r="W111" s="34"/>
      <c r="X111" s="33"/>
      <c r="Y111" s="34" t="s">
        <v>45</v>
      </c>
      <c r="Z111" s="34">
        <f>SUM($H$4:$H$32)</f>
        <v>4</v>
      </c>
      <c r="AA111" s="33" t="s">
        <v>44</v>
      </c>
      <c r="AB111" s="44">
        <f>SUM(Q104:Q128)</f>
        <v>0</v>
      </c>
      <c r="AC111" s="33" t="s">
        <v>43</v>
      </c>
      <c r="AD111" s="33">
        <f>SUM(U104:U128,SUMPRODUCT(S104:S128,(O104:O128-AD108)),-SUMPRODUCT(R104:R128,(P104:P128-AF109)))</f>
        <v>-17057.25</v>
      </c>
      <c r="AE111" s="26" t="s">
        <v>42</v>
      </c>
      <c r="AF111" s="26">
        <f>IF(Z111=0,0,AB111/Z111)</f>
        <v>0</v>
      </c>
      <c r="AK111" s="31"/>
    </row>
    <row r="112" spans="3:38">
      <c r="C112" s="30" t="s">
        <v>41</v>
      </c>
      <c r="D112" s="39">
        <v>9</v>
      </c>
      <c r="E112" s="43">
        <f>(AF111-($F$12-AD109)*AF117+($G$12-AF108)*AF116)*$H$12</f>
        <v>0</v>
      </c>
      <c r="F112" s="43">
        <f>(AF112+($E$12-AB109)*AF117-($G$12-AF109)*AF115)*$I$12</f>
        <v>0</v>
      </c>
      <c r="G112" s="43">
        <f>(AF113-($E$12-AB108)*AF116+($F$12-AD108)*AF115)*$J$12</f>
        <v>0</v>
      </c>
      <c r="H112" s="42"/>
      <c r="I112" s="27">
        <f t="shared" si="6"/>
        <v>0</v>
      </c>
      <c r="J112" s="27">
        <f t="shared" si="7"/>
        <v>0</v>
      </c>
      <c r="K112" s="27">
        <f t="shared" si="8"/>
        <v>0</v>
      </c>
      <c r="M112" s="34">
        <v>9</v>
      </c>
      <c r="N112" s="34"/>
      <c r="O112" s="34"/>
      <c r="P112" s="34"/>
      <c r="Q112" s="34"/>
      <c r="R112" s="34"/>
      <c r="S112" s="34"/>
      <c r="T112" s="31"/>
      <c r="U112" s="34"/>
      <c r="V112" s="34"/>
      <c r="W112" s="34"/>
      <c r="X112" s="33"/>
      <c r="Y112" s="34" t="s">
        <v>40</v>
      </c>
      <c r="Z112" s="34">
        <f>SUM($I$4:$I$32)</f>
        <v>4</v>
      </c>
      <c r="AA112" s="33" t="s">
        <v>39</v>
      </c>
      <c r="AB112" s="33">
        <f>SUM(R104:R128)</f>
        <v>568.57500000000005</v>
      </c>
      <c r="AC112" s="33" t="s">
        <v>38</v>
      </c>
      <c r="AD112" s="33">
        <f>SUM(V104:V128,SUMPRODUCT(Q104:Q128,(P104:P128-AF108)),-SUMPRODUCT(S104:S128,(N104:N128-AB108)))</f>
        <v>0</v>
      </c>
      <c r="AE112" s="26" t="s">
        <v>37</v>
      </c>
      <c r="AF112" s="26">
        <f>IF(Z112=0,0,AB112/Z112)</f>
        <v>142.14375000000001</v>
      </c>
      <c r="AK112" s="31"/>
    </row>
    <row r="113" spans="3:47">
      <c r="C113" s="30"/>
      <c r="D113" s="39">
        <v>10</v>
      </c>
      <c r="E113" s="43">
        <f>(AF111-($F$13-AD109)*AF117+($G$13-AF108)*AF116)*$H$13</f>
        <v>0</v>
      </c>
      <c r="F113" s="43">
        <f>(AF112+($E$13-AB109)*AF117-($G$13-AF109)*AF115)*$I$13</f>
        <v>0</v>
      </c>
      <c r="G113" s="43">
        <f>(AF113-($E$13-AB108)*AF116+($F$13-AD108)*AF115)*$J$13</f>
        <v>0</v>
      </c>
      <c r="H113" s="42"/>
      <c r="I113" s="27">
        <f t="shared" si="6"/>
        <v>0</v>
      </c>
      <c r="J113" s="27">
        <f t="shared" si="7"/>
        <v>0</v>
      </c>
      <c r="K113" s="27">
        <f t="shared" si="8"/>
        <v>0</v>
      </c>
      <c r="M113" s="34">
        <v>10</v>
      </c>
      <c r="N113" s="34"/>
      <c r="O113" s="34"/>
      <c r="P113" s="34"/>
      <c r="Q113" s="34"/>
      <c r="R113" s="34"/>
      <c r="S113" s="34"/>
      <c r="T113" s="31"/>
      <c r="U113" s="34"/>
      <c r="V113" s="34"/>
      <c r="W113" s="34"/>
      <c r="X113" s="33"/>
      <c r="Y113" s="34" t="s">
        <v>36</v>
      </c>
      <c r="Z113" s="34">
        <f>SUM($J$4:$J$32)</f>
        <v>4</v>
      </c>
      <c r="AA113" s="33" t="s">
        <v>35</v>
      </c>
      <c r="AB113" s="33">
        <f>SUM(S104:S128)</f>
        <v>0</v>
      </c>
      <c r="AC113" s="33" t="s">
        <v>34</v>
      </c>
      <c r="AD113" s="33">
        <f>SUM(W104:W128,SUMPRODUCT(R104:R128,(N104:N128-AB109)),-SUMPRODUCT(Q104:Q128,(O104:O128-AD109)))</f>
        <v>3263.7100393700789</v>
      </c>
      <c r="AE113" s="26" t="s">
        <v>33</v>
      </c>
      <c r="AF113" s="26">
        <f>IF(Z113=0,0,AB113/Z113)</f>
        <v>0</v>
      </c>
      <c r="AK113" s="31"/>
    </row>
    <row r="114" spans="3:47">
      <c r="C114" s="30"/>
      <c r="D114" s="39">
        <v>11</v>
      </c>
      <c r="E114" s="43">
        <f>(AF111-($F$14-AD109)*AF117+($G$14-AF108)*AF116)*$H$14</f>
        <v>0</v>
      </c>
      <c r="F114" s="43">
        <f>(AF112+($E$14-AB109)*AF117-($G$14-AF109)*AF115)*$I$14</f>
        <v>0</v>
      </c>
      <c r="G114" s="43">
        <f>(AF113-($E$14-AB108)*AF116+($F$14-AD108)*AF115)*$J$14</f>
        <v>0</v>
      </c>
      <c r="H114" s="42"/>
      <c r="I114" s="27">
        <f t="shared" si="6"/>
        <v>0</v>
      </c>
      <c r="J114" s="27">
        <f t="shared" si="7"/>
        <v>0</v>
      </c>
      <c r="K114" s="27">
        <f t="shared" si="8"/>
        <v>0</v>
      </c>
      <c r="M114" s="34">
        <v>11</v>
      </c>
      <c r="N114" s="34"/>
      <c r="O114" s="34"/>
      <c r="P114" s="34"/>
      <c r="Q114" s="34"/>
      <c r="R114" s="34"/>
      <c r="S114" s="34"/>
      <c r="T114" s="31"/>
      <c r="U114" s="34"/>
      <c r="V114" s="34"/>
      <c r="W114" s="34"/>
      <c r="X114" s="33"/>
      <c r="AK114" s="31"/>
    </row>
    <row r="115" spans="3:47">
      <c r="C115" s="30"/>
      <c r="D115" s="39">
        <v>12</v>
      </c>
      <c r="E115" s="28">
        <f>(AF111-($F$15-AD109)*AF117+($G$15-AF108)*AF116)*$H$15</f>
        <v>0</v>
      </c>
      <c r="F115" s="28">
        <f>(AF112+($E$15-AB109)*AF117-($G$15-AF109)*AF115)*$I$15</f>
        <v>0</v>
      </c>
      <c r="G115" s="28">
        <f>(AF113-($E$15-AB108)*AF116+($F$15-AD108)*AF115)*$J$15</f>
        <v>0</v>
      </c>
      <c r="I115" s="27">
        <f t="shared" si="6"/>
        <v>0</v>
      </c>
      <c r="J115" s="27">
        <f t="shared" si="7"/>
        <v>0</v>
      </c>
      <c r="K115" s="27">
        <f t="shared" si="8"/>
        <v>0</v>
      </c>
      <c r="M115" s="34">
        <v>12</v>
      </c>
      <c r="N115" s="34"/>
      <c r="O115" s="34"/>
      <c r="P115" s="34"/>
      <c r="Q115" s="34"/>
      <c r="R115" s="34"/>
      <c r="S115" s="34"/>
      <c r="T115" s="31"/>
      <c r="U115" s="34"/>
      <c r="V115" s="34"/>
      <c r="W115" s="34"/>
      <c r="X115" s="33"/>
      <c r="Y115" s="36">
        <v>1</v>
      </c>
      <c r="Z115" s="38">
        <f>AF107+AD106-Z113*AD108^2-Z112*AF109^2</f>
        <v>112.995225990452</v>
      </c>
      <c r="AA115" s="35">
        <v>1</v>
      </c>
      <c r="AB115" s="26">
        <f>Z117*Z116^2-Z116*Z119^2</f>
        <v>6626974.9209806556</v>
      </c>
      <c r="AC115" s="37">
        <v>1</v>
      </c>
      <c r="AD115" s="26">
        <f>Z117*Z116-Z119^2</f>
        <v>42279.371267155962</v>
      </c>
      <c r="AE115" s="40">
        <v>1</v>
      </c>
      <c r="AF115" s="26">
        <f>IF(Z115=0,0,IF(Z116=0,AD111/Z117,IF(Z117=0,AD111/Z116,(AD111*AB115+AD112*AB116+AD113*AB117)/(AD115*AD116-AD117))))</f>
        <v>-150.95549259259255</v>
      </c>
      <c r="AK115" s="31"/>
    </row>
    <row r="116" spans="3:47">
      <c r="C116" s="30"/>
      <c r="D116" s="39">
        <v>13</v>
      </c>
      <c r="E116" s="28">
        <f>(AF111-($F$16-AD109)*AF117+($G$16-AF108)*AF116)*$H$16</f>
        <v>0</v>
      </c>
      <c r="F116" s="28">
        <f>(AF112+($E$16-AB109)*AF117-($G$16-AF109)*AF115)*$I$16</f>
        <v>0</v>
      </c>
      <c r="G116" s="28">
        <f>(AF113-($E$16-AB108)*AF116+($F$16-AD108)*AF115)*$J$16</f>
        <v>0</v>
      </c>
      <c r="I116" s="27">
        <f t="shared" si="6"/>
        <v>0</v>
      </c>
      <c r="J116" s="27">
        <f t="shared" si="7"/>
        <v>0</v>
      </c>
      <c r="K116" s="27">
        <f t="shared" si="8"/>
        <v>0</v>
      </c>
      <c r="M116" s="34">
        <v>13</v>
      </c>
      <c r="N116" s="34"/>
      <c r="O116" s="34"/>
      <c r="P116" s="34"/>
      <c r="Q116" s="34"/>
      <c r="R116" s="34"/>
      <c r="S116" s="34"/>
      <c r="T116" s="31"/>
      <c r="U116" s="34"/>
      <c r="V116" s="34"/>
      <c r="W116" s="34"/>
      <c r="X116" s="33"/>
      <c r="Y116" s="36">
        <v>2</v>
      </c>
      <c r="Z116" s="38">
        <f>AF106+AB106-Z113*AB108^2-Z111*AF108^2</f>
        <v>156.74251348502699</v>
      </c>
      <c r="AA116" s="35">
        <v>2</v>
      </c>
      <c r="AB116" s="41">
        <f>Z116*Z117*Z118+Z116*Z119*Z120</f>
        <v>0</v>
      </c>
      <c r="AC116" s="37">
        <v>2</v>
      </c>
      <c r="AD116" s="26">
        <f>Z115*Z116-Z118^2</f>
        <v>17711.155733552096</v>
      </c>
      <c r="AE116" s="40">
        <v>2</v>
      </c>
      <c r="AF116" s="26">
        <f>IF(Z115=0,AD112/Z117,IF(Z116=0,0,IF(Z117=0,AD112/Z115,(AD112*AB118+AD111*AB119+AD113*AB120)/(AD118*AD116-AD120))))</f>
        <v>0</v>
      </c>
      <c r="AK116" s="31"/>
    </row>
    <row r="117" spans="3:47">
      <c r="C117" s="30"/>
      <c r="D117" s="39">
        <v>14</v>
      </c>
      <c r="E117" s="28">
        <f>(AF111-($F$17-AD109)*AF117+($G$17-AF108)*AF116)*$H$17</f>
        <v>0</v>
      </c>
      <c r="F117" s="28">
        <f>(AF112+($E$17-AB109)*AF117-($G$17-AF109)*AF115)*$I$17</f>
        <v>0</v>
      </c>
      <c r="G117" s="28">
        <f>(AF113-($E$17-AB108)*AF116+($F$17-AD108)*AF115)*$J$17</f>
        <v>0</v>
      </c>
      <c r="I117" s="27">
        <f t="shared" si="6"/>
        <v>0</v>
      </c>
      <c r="J117" s="27">
        <f t="shared" si="7"/>
        <v>0</v>
      </c>
      <c r="K117" s="27">
        <f t="shared" si="8"/>
        <v>0</v>
      </c>
      <c r="M117" s="34">
        <v>14</v>
      </c>
      <c r="N117" s="34"/>
      <c r="O117" s="34"/>
      <c r="P117" s="34"/>
      <c r="Q117" s="34"/>
      <c r="R117" s="34"/>
      <c r="S117" s="34"/>
      <c r="T117" s="31"/>
      <c r="U117" s="34"/>
      <c r="V117" s="34"/>
      <c r="W117" s="34"/>
      <c r="X117" s="33"/>
      <c r="Y117" s="36">
        <v>3</v>
      </c>
      <c r="Z117" s="38">
        <f>AD107+AB107-Z112*AB109^2-Z111*AD109^2</f>
        <v>269.73773947547897</v>
      </c>
      <c r="AA117" s="35">
        <v>3</v>
      </c>
      <c r="AB117" s="26">
        <f>Z120*Z116^2+Z116*Z118*Z119</f>
        <v>0</v>
      </c>
      <c r="AC117" s="37">
        <v>3</v>
      </c>
      <c r="AD117" s="26">
        <f>(Z116*Z120+Z118*Z119)^2</f>
        <v>0</v>
      </c>
      <c r="AE117" s="40">
        <v>3</v>
      </c>
      <c r="AF117" s="38">
        <f>IF(Z115=0,AD113/Z116,IF(Z116=0,AD113/Z115,IF(Z117=0,0,(AD113*AB121+AD111*AB122+AD112*AB120)/(AD116*AD118-AD120))))</f>
        <v>12.099567697558959</v>
      </c>
    </row>
    <row r="118" spans="3:47">
      <c r="C118" s="30"/>
      <c r="D118" s="39">
        <v>15</v>
      </c>
      <c r="E118" s="28">
        <f>(AF111-($F$18-AD109)*AF117+($G$18-AF108)*AF116)*$H$18</f>
        <v>0</v>
      </c>
      <c r="F118" s="28">
        <f>(AF112+($E$18-AB109)*AF117-($G$18-AF109)*AF115)*$I$18</f>
        <v>0</v>
      </c>
      <c r="G118" s="28">
        <f>(AF113-($E$18-AB108)*AF116+($F$18-AD108)*AF115)*$J$18</f>
        <v>0</v>
      </c>
      <c r="I118" s="27">
        <f t="shared" si="6"/>
        <v>0</v>
      </c>
      <c r="J118" s="27">
        <f t="shared" si="7"/>
        <v>0</v>
      </c>
      <c r="K118" s="27">
        <f t="shared" si="8"/>
        <v>0</v>
      </c>
      <c r="M118" s="34">
        <v>15</v>
      </c>
      <c r="N118" s="34"/>
      <c r="O118" s="34"/>
      <c r="P118" s="34"/>
      <c r="Q118" s="34"/>
      <c r="R118" s="34"/>
      <c r="S118" s="34"/>
      <c r="T118" s="31"/>
      <c r="U118" s="34"/>
      <c r="V118" s="34"/>
      <c r="W118" s="34"/>
      <c r="X118" s="33"/>
      <c r="Y118" s="36">
        <v>4</v>
      </c>
      <c r="Z118" s="38">
        <f>AB103-AD108*AB108*Z113</f>
        <v>0</v>
      </c>
      <c r="AA118" s="35">
        <v>4</v>
      </c>
      <c r="AB118" s="26">
        <f>Z117*Z115^2-Z115*Z120^2</f>
        <v>3443990.1744071501</v>
      </c>
      <c r="AC118" s="37">
        <v>4</v>
      </c>
      <c r="AD118" s="26">
        <f>Z117*Z115-Z120^2</f>
        <v>30479.076830185411</v>
      </c>
    </row>
    <row r="119" spans="3:47">
      <c r="C119" s="30"/>
      <c r="D119" s="29">
        <v>16</v>
      </c>
      <c r="E119" s="28">
        <f>(AF111-($F$19-AD109)*AF117+($G$19-AF108)*AF116)*$H$19</f>
        <v>0</v>
      </c>
      <c r="F119" s="28">
        <f>(AF112+($E$19-AB109)*AF117-($G$19-AF109)*AF115)*$I$19</f>
        <v>0</v>
      </c>
      <c r="G119" s="28">
        <f>(AF113-($E$19-AB108)*AF116+($F$19-AD108)*AF115)*$J$19</f>
        <v>0</v>
      </c>
      <c r="I119" s="27">
        <f t="shared" si="6"/>
        <v>0</v>
      </c>
      <c r="J119" s="27">
        <f t="shared" si="7"/>
        <v>0</v>
      </c>
      <c r="K119" s="27">
        <f t="shared" si="8"/>
        <v>0</v>
      </c>
      <c r="M119" s="34">
        <v>16</v>
      </c>
      <c r="N119" s="34"/>
      <c r="O119" s="34"/>
      <c r="P119" s="34"/>
      <c r="Q119" s="34"/>
      <c r="R119" s="34"/>
      <c r="S119" s="34"/>
      <c r="T119" s="31"/>
      <c r="U119" s="34"/>
      <c r="V119" s="34"/>
      <c r="W119" s="34"/>
      <c r="X119" s="33"/>
      <c r="Y119" s="36">
        <v>5</v>
      </c>
      <c r="Z119" s="38">
        <f>AD103-AD109*AF108*Z111</f>
        <v>0</v>
      </c>
      <c r="AA119" s="35">
        <v>5</v>
      </c>
      <c r="AB119" s="26">
        <f>Z115*Z117*Z118+Z115*Z119*Z120</f>
        <v>0</v>
      </c>
      <c r="AC119" s="37"/>
    </row>
    <row r="120" spans="3:47">
      <c r="C120" s="30"/>
      <c r="D120" s="29">
        <v>17</v>
      </c>
      <c r="E120" s="28">
        <f>(AF111-($F$20-AD109)*AF117+($G$20-AF108)*AF116)*$H$20</f>
        <v>0</v>
      </c>
      <c r="F120" s="28">
        <f>(AF112+($E$20-AB109)*AF117-($G$20-AF109)*AF115)*$I$20</f>
        <v>0</v>
      </c>
      <c r="G120" s="28">
        <f>(AF113-($E$20-AB108)*AF116+($F$20-AD108)*AF115)*$J$20</f>
        <v>0</v>
      </c>
      <c r="I120" s="27">
        <f t="shared" si="6"/>
        <v>0</v>
      </c>
      <c r="J120" s="27">
        <f t="shared" si="7"/>
        <v>0</v>
      </c>
      <c r="K120" s="27">
        <f t="shared" si="8"/>
        <v>0</v>
      </c>
      <c r="M120" s="34">
        <v>17</v>
      </c>
      <c r="N120" s="34"/>
      <c r="O120" s="34"/>
      <c r="P120" s="34"/>
      <c r="Q120" s="34"/>
      <c r="R120" s="34"/>
      <c r="S120" s="34"/>
      <c r="T120" s="31"/>
      <c r="U120" s="34"/>
      <c r="V120" s="34"/>
      <c r="W120" s="34"/>
      <c r="X120" s="33"/>
      <c r="Y120" s="36">
        <v>6</v>
      </c>
      <c r="Z120" s="38">
        <f>AF103-AB109*AF109*Z112</f>
        <v>0</v>
      </c>
      <c r="AA120" s="35">
        <v>6</v>
      </c>
      <c r="AB120" s="26">
        <f>Z119*Z115^2+Z115*Z118*Z120</f>
        <v>0</v>
      </c>
      <c r="AC120" s="37">
        <v>6</v>
      </c>
      <c r="AD120" s="26">
        <f>(Z115*Z119+Z118*Z120)^2</f>
        <v>0</v>
      </c>
    </row>
    <row r="121" spans="3:47">
      <c r="C121" s="30"/>
      <c r="D121" s="29">
        <v>18</v>
      </c>
      <c r="E121" s="28">
        <f>(AF111-($F$21-AD109)*AF117+($G$21-AF108)*AF116)*$H$21</f>
        <v>0</v>
      </c>
      <c r="F121" s="28">
        <f>(AF112+($E$21-AB109)*AF117-($G$21-AF109)*AF115)*$I$21</f>
        <v>0</v>
      </c>
      <c r="G121" s="28">
        <f>(AF113-($E$21-AB108)*AF116+($F$21-AD108)*AF115)*$J$21</f>
        <v>0</v>
      </c>
      <c r="I121" s="27">
        <f t="shared" si="6"/>
        <v>0</v>
      </c>
      <c r="J121" s="27">
        <f t="shared" si="7"/>
        <v>0</v>
      </c>
      <c r="K121" s="27">
        <f t="shared" si="8"/>
        <v>0</v>
      </c>
      <c r="M121" s="34">
        <v>18</v>
      </c>
      <c r="N121" s="34"/>
      <c r="O121" s="34"/>
      <c r="P121" s="34"/>
      <c r="Q121" s="34"/>
      <c r="R121" s="34"/>
      <c r="S121" s="34"/>
      <c r="T121" s="31"/>
      <c r="U121" s="34"/>
      <c r="V121" s="34"/>
      <c r="W121" s="34"/>
      <c r="X121" s="33"/>
      <c r="Y121" s="36"/>
      <c r="AA121" s="35">
        <v>7</v>
      </c>
      <c r="AB121" s="26">
        <f>Z116*Z115^2-Z115*Z118^2</f>
        <v>2001276.0446648085</v>
      </c>
    </row>
    <row r="122" spans="3:47">
      <c r="C122" s="30"/>
      <c r="D122" s="29">
        <v>19</v>
      </c>
      <c r="E122" s="28">
        <f>(AF111-($F$22-AD109)*AF117+($G$22-AF108)*AF116)*$H$22</f>
        <v>0</v>
      </c>
      <c r="F122" s="28">
        <f>(AF112+($E$22-AB109)*AF117-($G$22-AF109)*AF115)*$I$22</f>
        <v>0</v>
      </c>
      <c r="G122" s="28">
        <f>(AF113-($E$22-AB108)*AF116+($F$22-AD108)*AF115)*$J$22</f>
        <v>0</v>
      </c>
      <c r="I122" s="27">
        <f t="shared" si="6"/>
        <v>0</v>
      </c>
      <c r="J122" s="27">
        <f t="shared" si="7"/>
        <v>0</v>
      </c>
      <c r="K122" s="27">
        <f t="shared" si="8"/>
        <v>0</v>
      </c>
      <c r="M122" s="34">
        <v>19</v>
      </c>
      <c r="N122" s="34"/>
      <c r="O122" s="34"/>
      <c r="P122" s="34"/>
      <c r="Q122" s="34"/>
      <c r="R122" s="34"/>
      <c r="S122" s="34"/>
      <c r="T122" s="31"/>
      <c r="U122" s="34"/>
      <c r="V122" s="34"/>
      <c r="W122" s="34"/>
      <c r="X122" s="33"/>
      <c r="AA122" s="35">
        <v>8</v>
      </c>
      <c r="AB122" s="26">
        <f>Z115*Z116*Z120+Z115*Z119*Z118</f>
        <v>0</v>
      </c>
    </row>
    <row r="123" spans="3:47">
      <c r="C123" s="30"/>
      <c r="D123" s="29">
        <v>20</v>
      </c>
      <c r="E123" s="28">
        <f>(AF111-($F$23-AD109)*AF117+($G$23-AF108)*AF116)*$H$23</f>
        <v>0</v>
      </c>
      <c r="F123" s="28">
        <f>(AF112+($E$23-AB109)*AF117-($G$23-AF109)*AF115)*$I$23</f>
        <v>0</v>
      </c>
      <c r="G123" s="28">
        <f>(AF113-($E$23-AB108)*AF116+($F$23-AD108)*AF115)*$J$23</f>
        <v>0</v>
      </c>
      <c r="I123" s="27">
        <f t="shared" si="6"/>
        <v>0</v>
      </c>
      <c r="J123" s="27">
        <f t="shared" si="7"/>
        <v>0</v>
      </c>
      <c r="K123" s="27">
        <f t="shared" si="8"/>
        <v>0</v>
      </c>
      <c r="M123" s="34">
        <v>20</v>
      </c>
      <c r="N123" s="34"/>
      <c r="O123" s="34"/>
      <c r="P123" s="34"/>
      <c r="Q123" s="34"/>
      <c r="R123" s="34"/>
      <c r="S123" s="34"/>
      <c r="T123" s="31"/>
      <c r="U123" s="34"/>
      <c r="V123" s="34"/>
      <c r="W123" s="34"/>
      <c r="X123" s="33"/>
      <c r="Y123" s="33"/>
      <c r="Z123" s="33"/>
      <c r="AA123" s="33"/>
      <c r="AB123" s="33"/>
      <c r="AC123" s="33"/>
      <c r="AD123" s="33"/>
    </row>
    <row r="124" spans="3:47">
      <c r="C124" s="30"/>
      <c r="D124" s="29">
        <v>21</v>
      </c>
      <c r="E124" s="28">
        <f>(AF111-($F$24-AD109)*AF117+($G$24-AF108)*AF116)*$H$24</f>
        <v>0</v>
      </c>
      <c r="F124" s="28">
        <f>(AF112+($E$24-AB109)*AF117-($G$24-AF109)*AF115)*$I$24</f>
        <v>0</v>
      </c>
      <c r="G124" s="28">
        <f>(AF113-($E$24-AB108)*AF116+($F$24-AD108)*AF115)*$J$24</f>
        <v>0</v>
      </c>
      <c r="I124" s="27">
        <f t="shared" si="6"/>
        <v>0</v>
      </c>
      <c r="J124" s="27">
        <f t="shared" si="7"/>
        <v>0</v>
      </c>
      <c r="K124" s="27">
        <f t="shared" si="8"/>
        <v>0</v>
      </c>
      <c r="M124" s="34">
        <v>21</v>
      </c>
      <c r="N124" s="34"/>
      <c r="O124" s="34"/>
      <c r="P124" s="34"/>
      <c r="Q124" s="34"/>
      <c r="R124" s="34"/>
      <c r="S124" s="34"/>
      <c r="T124" s="31"/>
      <c r="U124" s="34"/>
      <c r="V124" s="34"/>
      <c r="W124" s="34"/>
      <c r="X124" s="33"/>
      <c r="Y124" s="33"/>
      <c r="Z124" s="33"/>
      <c r="AA124" s="33"/>
      <c r="AB124" s="33"/>
      <c r="AC124" s="33"/>
      <c r="AD124" s="33"/>
    </row>
    <row r="125" spans="3:47">
      <c r="C125" s="30"/>
      <c r="D125" s="29">
        <v>22</v>
      </c>
      <c r="E125" s="28">
        <f>(AF111-($F$25-AD109)*AF117+($G$25-AF108)*AF116)*$H$25</f>
        <v>0</v>
      </c>
      <c r="F125" s="28">
        <f>(AF112+($E$25-AB109)*AF117-($G$25-AF109)*AF115)*$I$25</f>
        <v>0</v>
      </c>
      <c r="G125" s="28">
        <f>(AF113-($E$25-AB108)*AF116+($F$25-AD108)*AF115)*$J$25</f>
        <v>0</v>
      </c>
      <c r="I125" s="27">
        <f t="shared" si="6"/>
        <v>0</v>
      </c>
      <c r="J125" s="27">
        <f t="shared" si="7"/>
        <v>0</v>
      </c>
      <c r="K125" s="27">
        <f t="shared" si="8"/>
        <v>0</v>
      </c>
      <c r="M125" s="34">
        <v>22</v>
      </c>
      <c r="N125" s="34"/>
      <c r="O125" s="34"/>
      <c r="P125" s="34"/>
      <c r="Q125" s="34"/>
      <c r="R125" s="34"/>
      <c r="S125" s="34"/>
      <c r="T125" s="31"/>
      <c r="U125" s="34"/>
      <c r="V125" s="34"/>
      <c r="W125" s="34"/>
      <c r="X125" s="33"/>
      <c r="Y125" s="33"/>
      <c r="Z125" s="33"/>
      <c r="AA125" s="33"/>
      <c r="AB125" s="33"/>
      <c r="AC125" s="33"/>
      <c r="AD125" s="33"/>
    </row>
    <row r="126" spans="3:47">
      <c r="C126" s="30"/>
      <c r="D126" s="29">
        <v>23</v>
      </c>
      <c r="E126" s="28">
        <f>(AF111-($F$26-AD109)*AF117+($G$26-AF108)*AF116)*$H$26</f>
        <v>0</v>
      </c>
      <c r="F126" s="28">
        <f>(AF112+($E$26-AB109)*AF117-($G$26-AF109)*AF115)*$I$26</f>
        <v>0</v>
      </c>
      <c r="G126" s="28">
        <f>(AF113-($E$26-AB108)*AF116+($F$26-AD108)*AF115)*$J$26</f>
        <v>0</v>
      </c>
      <c r="I126" s="27">
        <f t="shared" si="6"/>
        <v>0</v>
      </c>
      <c r="J126" s="27">
        <f t="shared" si="7"/>
        <v>0</v>
      </c>
      <c r="K126" s="27">
        <f t="shared" si="8"/>
        <v>0</v>
      </c>
      <c r="M126" s="34">
        <v>23</v>
      </c>
      <c r="N126" s="34"/>
      <c r="O126" s="34"/>
      <c r="P126" s="34"/>
      <c r="Q126" s="34"/>
      <c r="R126" s="34"/>
      <c r="S126" s="34"/>
      <c r="T126" s="31"/>
      <c r="U126" s="34"/>
      <c r="V126" s="34"/>
      <c r="W126" s="34"/>
      <c r="X126" s="33"/>
      <c r="Y126" s="33"/>
      <c r="Z126" s="33"/>
      <c r="AA126" s="33"/>
      <c r="AB126" s="33"/>
      <c r="AC126" s="33"/>
      <c r="AD126" s="33"/>
    </row>
    <row r="127" spans="3:47">
      <c r="C127" s="30"/>
      <c r="D127" s="29">
        <v>24</v>
      </c>
      <c r="E127" s="28">
        <f>(AF111-($F$27-AD109)*AF117+($G$27-AF108)*AF116)*$H$27</f>
        <v>0</v>
      </c>
      <c r="F127" s="28">
        <f>(AF112+($E$27-AB109)*AF117-($G$27-AF109)*AF115)*$I$27</f>
        <v>0</v>
      </c>
      <c r="G127" s="28">
        <f>(AF113-($E$27-AB108)*AF116+($F$27-AD108)*AF115)*$J$27</f>
        <v>0</v>
      </c>
      <c r="I127" s="27">
        <f t="shared" si="6"/>
        <v>0</v>
      </c>
      <c r="J127" s="27">
        <f t="shared" si="7"/>
        <v>0</v>
      </c>
      <c r="K127" s="27">
        <f t="shared" si="8"/>
        <v>0</v>
      </c>
      <c r="L127" s="31"/>
      <c r="M127" s="34">
        <v>24</v>
      </c>
      <c r="N127" s="34"/>
      <c r="O127" s="34"/>
      <c r="P127" s="34"/>
      <c r="Q127" s="34"/>
      <c r="R127" s="34"/>
      <c r="S127" s="34"/>
      <c r="T127" s="31"/>
      <c r="U127" s="34"/>
      <c r="V127" s="34"/>
      <c r="W127" s="34"/>
      <c r="X127" s="33"/>
      <c r="Y127" s="33"/>
      <c r="Z127" s="33"/>
      <c r="AA127" s="33"/>
      <c r="AB127" s="33"/>
      <c r="AC127" s="33"/>
      <c r="AD127" s="33"/>
      <c r="AF127" s="31"/>
      <c r="AG127" s="31"/>
      <c r="AH127" s="31"/>
      <c r="AI127" s="31"/>
      <c r="AJ127" s="31"/>
      <c r="AM127" s="31"/>
      <c r="AN127" s="31"/>
      <c r="AO127" s="31"/>
      <c r="AP127" s="31"/>
      <c r="AQ127" s="31"/>
      <c r="AR127" s="31"/>
      <c r="AS127" s="31"/>
      <c r="AT127" s="31"/>
      <c r="AU127" s="31"/>
    </row>
    <row r="128" spans="3:47">
      <c r="C128" s="30"/>
      <c r="D128" s="29">
        <v>25</v>
      </c>
      <c r="E128" s="28">
        <f>(AF111-($F$28-AD109)*AF117+($G$28-AF108)*AF116)*$H$28</f>
        <v>0</v>
      </c>
      <c r="F128" s="28">
        <f>(AF112+($E$28-AB109)*AF117-($G$28-AF109)*AF115)*$I$28</f>
        <v>0</v>
      </c>
      <c r="G128" s="28">
        <f>(AF113-($E$28-AB108)*AF116+($F$28-AD108)*AF115)*$J$28</f>
        <v>0</v>
      </c>
      <c r="I128" s="27">
        <f t="shared" si="6"/>
        <v>0</v>
      </c>
      <c r="J128" s="27">
        <f t="shared" si="7"/>
        <v>0</v>
      </c>
      <c r="K128" s="27">
        <f t="shared" si="8"/>
        <v>0</v>
      </c>
      <c r="M128" s="34">
        <v>25</v>
      </c>
      <c r="N128" s="34"/>
      <c r="O128" s="34"/>
      <c r="P128" s="34"/>
      <c r="Q128" s="34"/>
      <c r="R128" s="34"/>
      <c r="S128" s="34"/>
      <c r="T128" s="31"/>
      <c r="U128" s="34"/>
      <c r="V128" s="34"/>
      <c r="W128" s="34"/>
      <c r="X128" s="33"/>
      <c r="Y128" s="33"/>
      <c r="Z128" s="33"/>
      <c r="AA128" s="33"/>
      <c r="AB128" s="33"/>
      <c r="AC128" s="33"/>
      <c r="AD128" s="33"/>
    </row>
    <row r="129" spans="3:38">
      <c r="C129" s="30"/>
      <c r="D129" s="29">
        <v>26</v>
      </c>
      <c r="E129" s="28">
        <f>(AF111-($F$29-AD109)*AF117+($G$29-AF108)*AF116)*$H$29</f>
        <v>0</v>
      </c>
      <c r="F129" s="28">
        <f>(AF112+($E$29-AB109)*AF117-($G$29-AF109)*AF115)*$I$29</f>
        <v>0</v>
      </c>
      <c r="G129" s="28">
        <f>(AF113-($E$29-AB108)*AF116+($F$29-AD108)*AF115)*$J$29</f>
        <v>0</v>
      </c>
      <c r="I129" s="27">
        <f t="shared" si="6"/>
        <v>0</v>
      </c>
      <c r="J129" s="27">
        <f t="shared" si="7"/>
        <v>0</v>
      </c>
      <c r="K129" s="27">
        <f t="shared" si="8"/>
        <v>0</v>
      </c>
      <c r="M129" s="33"/>
      <c r="N129" s="33"/>
      <c r="O129" s="33"/>
      <c r="P129" s="33"/>
      <c r="Q129" s="33"/>
      <c r="R129" s="33"/>
      <c r="S129" s="33"/>
      <c r="U129" s="33"/>
      <c r="V129" s="33"/>
      <c r="W129" s="33"/>
      <c r="X129" s="33"/>
      <c r="Y129" s="33"/>
      <c r="Z129" s="33"/>
      <c r="AA129" s="33"/>
      <c r="AB129" s="33"/>
      <c r="AC129" s="33"/>
      <c r="AD129" s="33"/>
      <c r="AK129" s="31"/>
      <c r="AL129" s="31"/>
    </row>
    <row r="130" spans="3:38">
      <c r="C130" s="30"/>
      <c r="D130" s="29">
        <v>27</v>
      </c>
      <c r="E130" s="28">
        <f>(AF111-($F$30-AD109)*AF117+($G$30-AF108)*AF116)*$H$30</f>
        <v>0</v>
      </c>
      <c r="F130" s="28">
        <f>(AF112+($E$30-AB109)*AF117-($G$30-AF109)*AF115)*$I$30</f>
        <v>0</v>
      </c>
      <c r="G130" s="28">
        <f>(AF113-($E$30-AB108)*AF116+($F$30-AD108)*AF115)*$J$30</f>
        <v>0</v>
      </c>
      <c r="I130" s="27">
        <f t="shared" si="6"/>
        <v>0</v>
      </c>
      <c r="J130" s="27">
        <f t="shared" si="7"/>
        <v>0</v>
      </c>
      <c r="K130" s="27">
        <f t="shared" si="8"/>
        <v>0</v>
      </c>
      <c r="M130" s="31"/>
      <c r="N130" s="32"/>
      <c r="O130" s="32"/>
      <c r="P130" s="32"/>
      <c r="Q130" s="31"/>
      <c r="R130" s="31"/>
      <c r="S130" s="31"/>
      <c r="T130" s="31"/>
      <c r="U130" s="31"/>
      <c r="V130" s="31"/>
      <c r="W130" s="31"/>
      <c r="X130" s="31"/>
      <c r="Y130" s="31"/>
      <c r="Z130" s="31"/>
      <c r="AA130" s="31"/>
      <c r="AB130" s="31"/>
      <c r="AC130" s="31"/>
      <c r="AD130" s="31"/>
      <c r="AE130" s="31"/>
    </row>
    <row r="131" spans="3:38">
      <c r="C131" s="30"/>
      <c r="D131" s="29">
        <v>28</v>
      </c>
      <c r="E131" s="28">
        <f>(AF111-($F$31-AD109)*AF117+($G$31-AF108)*AF116)*$H$31</f>
        <v>0</v>
      </c>
      <c r="F131" s="28">
        <f>(AF112+($E$31-AB109)*AF117-($G$31-AF109)*AF115)*$I$31</f>
        <v>0</v>
      </c>
      <c r="G131" s="28">
        <f>(AF113-($E$31-AB108)*AF116+($F$31-AD108)*AF115)*$J$31</f>
        <v>0</v>
      </c>
      <c r="I131" s="27">
        <f t="shared" si="6"/>
        <v>0</v>
      </c>
      <c r="J131" s="27">
        <f t="shared" si="7"/>
        <v>0</v>
      </c>
      <c r="K131" s="27">
        <f t="shared" si="8"/>
        <v>0</v>
      </c>
    </row>
    <row r="132" spans="3:38">
      <c r="C132" s="30"/>
      <c r="D132" s="29">
        <v>29</v>
      </c>
      <c r="E132" s="28">
        <f>(AF111-($F$32-AD109)*AF117+($G$32-AF108)*AF116)*$H$32</f>
        <v>0</v>
      </c>
      <c r="F132" s="28">
        <f>(AF112+($E$32-AB109)*AF117-($G$32-AF109)*AF115)*$I$32</f>
        <v>0</v>
      </c>
      <c r="G132" s="28">
        <f>(AF113-($E$32-AB108)*AF116+($F$32-AD108)*AF115)*$J$32</f>
        <v>0</v>
      </c>
      <c r="I132" s="27">
        <f t="shared" si="6"/>
        <v>0</v>
      </c>
      <c r="J132" s="27">
        <f t="shared" si="7"/>
        <v>0</v>
      </c>
      <c r="K132" s="27">
        <f t="shared" si="8"/>
        <v>0</v>
      </c>
    </row>
    <row r="134" spans="3:38" ht="15.6">
      <c r="C134" s="52" t="str">
        <f>PURPOSE!C35</f>
        <v>23.561(b)(2)(iii)</v>
      </c>
      <c r="D134" s="51"/>
      <c r="E134" s="51"/>
      <c r="F134" s="51"/>
    </row>
    <row r="135" spans="3:38">
      <c r="AK135" s="31"/>
      <c r="AL135" s="45"/>
    </row>
    <row r="136" spans="3:38" ht="33.6">
      <c r="C136" s="49" t="s">
        <v>98</v>
      </c>
      <c r="D136" s="49" t="s">
        <v>97</v>
      </c>
      <c r="E136" s="49" t="s">
        <v>96</v>
      </c>
      <c r="F136" s="49" t="s">
        <v>95</v>
      </c>
      <c r="G136" s="49" t="s">
        <v>94</v>
      </c>
      <c r="H136" s="50"/>
      <c r="I136" s="49" t="s">
        <v>93</v>
      </c>
      <c r="J136" s="49" t="s">
        <v>92</v>
      </c>
      <c r="K136" s="49" t="s">
        <v>91</v>
      </c>
      <c r="M136" s="49" t="s">
        <v>13</v>
      </c>
      <c r="N136" s="49" t="s">
        <v>90</v>
      </c>
      <c r="O136" s="49" t="s">
        <v>89</v>
      </c>
      <c r="P136" s="49" t="s">
        <v>88</v>
      </c>
      <c r="Q136" s="49" t="s">
        <v>87</v>
      </c>
      <c r="R136" s="49" t="s">
        <v>86</v>
      </c>
      <c r="S136" s="49" t="s">
        <v>85</v>
      </c>
      <c r="T136" s="31"/>
      <c r="U136" s="49" t="s">
        <v>84</v>
      </c>
      <c r="V136" s="49" t="s">
        <v>83</v>
      </c>
      <c r="W136" s="49" t="s">
        <v>82</v>
      </c>
      <c r="X136" s="33"/>
      <c r="Y136" s="34" t="s">
        <v>81</v>
      </c>
      <c r="Z136" s="34">
        <v>1</v>
      </c>
      <c r="AA136" s="33" t="s">
        <v>80</v>
      </c>
      <c r="AB136" s="45">
        <f>SUMPRODUCT($J$4:$J$32,$E$4:$E$32,$F$4:$F$32)</f>
        <v>0</v>
      </c>
      <c r="AC136" s="33" t="s">
        <v>79</v>
      </c>
      <c r="AD136" s="45">
        <f>SUMPRODUCT(H103:H131,F103:F131,G103:G131)</f>
        <v>0</v>
      </c>
      <c r="AE136" s="33" t="s">
        <v>78</v>
      </c>
      <c r="AF136" s="45">
        <f>SUMPRODUCT($I$4:$I$32,$E$4:$E$32,$G$4:$G$32)</f>
        <v>0</v>
      </c>
      <c r="AK136" s="31"/>
    </row>
    <row r="137" spans="3:38">
      <c r="C137" s="30" t="s">
        <v>77</v>
      </c>
      <c r="D137" s="39">
        <v>1</v>
      </c>
      <c r="E137" s="43">
        <f>(AF144-($F$4-AD142)*AF150+($G$4-AF141)*AF149)*$H$4</f>
        <v>64.308725951592891</v>
      </c>
      <c r="F137" s="43">
        <f>(AF145+($E$4-AB142)*AF150-($G$4-AF142)*AF148)*$I$4</f>
        <v>-66.402361657012818</v>
      </c>
      <c r="G137" s="43">
        <f>(AF146-($E$4-AB141)*AF149+($F$4-AD141)*AF148)*$J$4</f>
        <v>802.32249999999976</v>
      </c>
      <c r="H137" s="42"/>
      <c r="I137" s="27">
        <f t="shared" ref="I137:I165" si="9">SQRT(E137^2+F137^2)</f>
        <v>92.438551844702786</v>
      </c>
      <c r="J137" s="27">
        <f t="shared" ref="J137:J165" si="10">SQRT(E137^2+G137^2)</f>
        <v>804.89564928614607</v>
      </c>
      <c r="K137" s="27">
        <f t="shared" ref="K137:K165" si="11">SQRT(F137^2+G137^2)</f>
        <v>805.06562939916785</v>
      </c>
      <c r="M137" s="34">
        <v>1</v>
      </c>
      <c r="N137" s="47">
        <f>N38</f>
        <v>12</v>
      </c>
      <c r="O137" s="47">
        <f>PURPOSE!E25</f>
        <v>0</v>
      </c>
      <c r="P137" s="47">
        <f>P104</f>
        <v>30</v>
      </c>
      <c r="Q137" s="48">
        <f>PURPOSE!E49</f>
        <v>0</v>
      </c>
      <c r="R137" s="48">
        <f>PURPOSE!F49</f>
        <v>-568.57500000000005</v>
      </c>
      <c r="S137" s="48">
        <f>PURPOSE!G49</f>
        <v>0</v>
      </c>
      <c r="T137" s="31"/>
      <c r="U137" s="34"/>
      <c r="V137" s="34"/>
      <c r="W137" s="34"/>
      <c r="X137" s="33"/>
      <c r="Y137" s="34" t="s">
        <v>76</v>
      </c>
      <c r="Z137" s="34">
        <v>1</v>
      </c>
      <c r="AA137" s="33" t="s">
        <v>75</v>
      </c>
      <c r="AB137" s="45">
        <f>SUMPRODUCT($J$4:$J$32,$E$4:$E$32)</f>
        <v>25.039370078740159</v>
      </c>
      <c r="AC137" s="33" t="s">
        <v>74</v>
      </c>
      <c r="AD137" s="45">
        <f>SUMPRODUCT($J$4:$J$32,$F$4:$F$32)</f>
        <v>0</v>
      </c>
      <c r="AE137" s="33" t="s">
        <v>73</v>
      </c>
      <c r="AF137" s="45">
        <f>SUMPRODUCT($H$4:$H$32,$G$4:$G$32)</f>
        <v>0</v>
      </c>
      <c r="AK137" s="31"/>
    </row>
    <row r="138" spans="3:38">
      <c r="C138" s="30" t="s">
        <v>72</v>
      </c>
      <c r="D138" s="39">
        <v>2</v>
      </c>
      <c r="E138" s="43">
        <f>(AF144-($F$5-AD142)*AF150+($G$5-AF141)*AF149)*$H$5</f>
        <v>-64.308725951592891</v>
      </c>
      <c r="F138" s="43">
        <f>(AF145+($E$5-AB142)*AF150-($G$5-AF142)*AF148)*$I$5</f>
        <v>-66.402361657012818</v>
      </c>
      <c r="G138" s="43">
        <f>(AF146-($E$5-AB141)*AF149+($F$5-AD141)*AF148)*$J$5</f>
        <v>-802.32249999999976</v>
      </c>
      <c r="H138" s="42"/>
      <c r="I138" s="27">
        <f t="shared" si="9"/>
        <v>92.438551844702786</v>
      </c>
      <c r="J138" s="27">
        <f t="shared" si="10"/>
        <v>804.89564928614607</v>
      </c>
      <c r="K138" s="27">
        <f t="shared" si="11"/>
        <v>805.06562939916785</v>
      </c>
      <c r="M138" s="34">
        <v>2</v>
      </c>
      <c r="N138" s="47"/>
      <c r="O138" s="47"/>
      <c r="P138" s="47"/>
      <c r="Q138" s="47"/>
      <c r="R138" s="46"/>
      <c r="S138" s="46"/>
      <c r="T138" s="31"/>
      <c r="U138" s="34"/>
      <c r="V138" s="34"/>
      <c r="W138" s="34"/>
      <c r="X138" s="33"/>
      <c r="Y138" s="34" t="s">
        <v>71</v>
      </c>
      <c r="Z138" s="34">
        <v>0</v>
      </c>
      <c r="AA138" s="33" t="s">
        <v>70</v>
      </c>
      <c r="AB138" s="45">
        <f>SUMPRODUCT($I$4:$I$32,$E$4:$E$32)</f>
        <v>25.039370078740159</v>
      </c>
      <c r="AC138" s="33" t="s">
        <v>69</v>
      </c>
      <c r="AD138" s="45">
        <f>SUMPRODUCT($H$4:$H$32,$F$4:$F$32)</f>
        <v>0</v>
      </c>
      <c r="AE138" s="33" t="s">
        <v>68</v>
      </c>
      <c r="AF138" s="45">
        <f>SUMPRODUCT($I$4:$I$32,$G$4:$G$32)</f>
        <v>0</v>
      </c>
      <c r="AK138" s="31"/>
    </row>
    <row r="139" spans="3:38">
      <c r="C139" s="30" t="s">
        <v>67</v>
      </c>
      <c r="D139" s="39">
        <v>3</v>
      </c>
      <c r="E139" s="43">
        <f>(AF144-($F$6-AD142)*AF150+($G$6-AF141)*AF149)*$H$6</f>
        <v>64.308725951592891</v>
      </c>
      <c r="F139" s="43">
        <f>(AF145+($E$6-AB142)*AF150-($G$6-AF142)*AF148)*$I$6</f>
        <v>-217.8851383429872</v>
      </c>
      <c r="G139" s="43">
        <f>(AF146-($E$6-AB141)*AF149+($F$6-AD141)*AF148)*$J$6</f>
        <v>802.32249999999976</v>
      </c>
      <c r="H139" s="42"/>
      <c r="I139" s="27">
        <f t="shared" si="9"/>
        <v>227.17734425831233</v>
      </c>
      <c r="J139" s="27">
        <f t="shared" si="10"/>
        <v>804.89564928614607</v>
      </c>
      <c r="K139" s="27">
        <f t="shared" si="11"/>
        <v>831.3815775665181</v>
      </c>
      <c r="M139" s="34">
        <v>3</v>
      </c>
      <c r="N139" s="34"/>
      <c r="O139" s="34"/>
      <c r="P139" s="34"/>
      <c r="Q139" s="34"/>
      <c r="R139" s="34"/>
      <c r="S139" s="34"/>
      <c r="T139" s="31"/>
      <c r="U139" s="34"/>
      <c r="V139" s="34"/>
      <c r="W139" s="34"/>
      <c r="X139" s="33"/>
      <c r="Y139" s="34" t="s">
        <v>66</v>
      </c>
      <c r="Z139" s="34">
        <v>1</v>
      </c>
      <c r="AA139" s="33" t="s">
        <v>65</v>
      </c>
      <c r="AB139" s="45">
        <f>SUMPRODUCT($J$4:$J$32,POWER($E$4:$E$32,2))</f>
        <v>313.48502697005398</v>
      </c>
      <c r="AC139" s="33" t="s">
        <v>64</v>
      </c>
      <c r="AD139" s="45">
        <f>SUMPRODUCT($J$4:$J$32*POWER($F$4:$F$32,2))</f>
        <v>112.995225990452</v>
      </c>
      <c r="AE139" s="33" t="s">
        <v>63</v>
      </c>
      <c r="AF139" s="45">
        <f>SUMPRODUCT($H$4:$H$32,POWER($G$4:$G$32,2))</f>
        <v>0</v>
      </c>
      <c r="AK139" s="31"/>
    </row>
    <row r="140" spans="3:38">
      <c r="C140" s="30" t="s">
        <v>62</v>
      </c>
      <c r="D140" s="39">
        <v>4</v>
      </c>
      <c r="E140" s="43">
        <f>(AF144-($F$7-AD142)*AF150+($G$7-AF141)*AF149)*$H$7</f>
        <v>-64.308725951592891</v>
      </c>
      <c r="F140" s="43">
        <f>(AF145+($E$7-AB142)*AF150-($G$7-AF142)*AF148)*$I$7</f>
        <v>-217.8851383429872</v>
      </c>
      <c r="G140" s="43">
        <f>(AF146-($E$7-AB141)*AF149+($F$7-AD141)*AF148)*$J$7</f>
        <v>-802.32249999999976</v>
      </c>
      <c r="H140" s="42"/>
      <c r="I140" s="27">
        <f t="shared" si="9"/>
        <v>227.17734425831233</v>
      </c>
      <c r="J140" s="27">
        <f t="shared" si="10"/>
        <v>804.89564928614607</v>
      </c>
      <c r="K140" s="27">
        <f t="shared" si="11"/>
        <v>831.3815775665181</v>
      </c>
      <c r="M140" s="34">
        <v>4</v>
      </c>
      <c r="N140" s="34"/>
      <c r="O140" s="34"/>
      <c r="P140" s="34"/>
      <c r="Q140" s="34"/>
      <c r="R140" s="34"/>
      <c r="S140" s="34"/>
      <c r="T140" s="31"/>
      <c r="U140" s="34"/>
      <c r="V140" s="34"/>
      <c r="W140" s="34"/>
      <c r="X140" s="33"/>
      <c r="Y140" s="34" t="s">
        <v>61</v>
      </c>
      <c r="Z140" s="34">
        <v>1</v>
      </c>
      <c r="AA140" s="33" t="s">
        <v>60</v>
      </c>
      <c r="AB140" s="45">
        <f>SUMPRODUCT($I$4:$I$32,POWER($E$4:$E$32,2))</f>
        <v>313.48502697005398</v>
      </c>
      <c r="AC140" s="33" t="s">
        <v>59</v>
      </c>
      <c r="AD140" s="45">
        <f>SUMPRODUCT($H$4:$H$32,POWER($F$4:$F$32,2))</f>
        <v>112.995225990452</v>
      </c>
      <c r="AE140" s="33" t="s">
        <v>58</v>
      </c>
      <c r="AF140" s="45">
        <f>SUMPRODUCT($I$4:$I$32,POWER($G$4:$G$32,2))</f>
        <v>0</v>
      </c>
      <c r="AK140" s="31"/>
    </row>
    <row r="141" spans="3:38">
      <c r="C141" s="30" t="s">
        <v>57</v>
      </c>
      <c r="D141" s="39">
        <v>5</v>
      </c>
      <c r="E141" s="43">
        <f>(AF144-($F$8-AD142)*AF150+($G$8-AF141)*AF149)*$H$8</f>
        <v>0</v>
      </c>
      <c r="F141" s="43">
        <f>(AF145+($E$8-AB142)*AF150-($G$8-AF142)*AF148)*$I$8</f>
        <v>0</v>
      </c>
      <c r="G141" s="43">
        <f>(AF146-($E$8-AB141)*AF149+($F$8-AD141)*AF148)*$J$8</f>
        <v>0</v>
      </c>
      <c r="H141" s="42"/>
      <c r="I141" s="27">
        <f t="shared" si="9"/>
        <v>0</v>
      </c>
      <c r="J141" s="27">
        <f t="shared" si="10"/>
        <v>0</v>
      </c>
      <c r="K141" s="27">
        <f t="shared" si="11"/>
        <v>0</v>
      </c>
      <c r="M141" s="34">
        <v>5</v>
      </c>
      <c r="N141" s="34"/>
      <c r="O141" s="34"/>
      <c r="P141" s="34"/>
      <c r="Q141" s="34"/>
      <c r="R141" s="34"/>
      <c r="S141" s="34"/>
      <c r="T141" s="31"/>
      <c r="U141" s="34"/>
      <c r="V141" s="34"/>
      <c r="W141" s="34"/>
      <c r="X141" s="33"/>
      <c r="Y141" s="34" t="s">
        <v>56</v>
      </c>
      <c r="Z141" s="34">
        <v>0</v>
      </c>
      <c r="AA141" s="33" t="s">
        <v>55</v>
      </c>
      <c r="AB141" s="45">
        <f>IF(Z146=0,0,AB137/Z146)</f>
        <v>6.2598425196850398</v>
      </c>
      <c r="AC141" s="33" t="s">
        <v>54</v>
      </c>
      <c r="AD141" s="45">
        <f>IF(Z146=0,0,AD137/Z146)</f>
        <v>0</v>
      </c>
      <c r="AE141" s="33" t="s">
        <v>53</v>
      </c>
      <c r="AF141" s="45">
        <f>IF(Z144=0,0,AF137/Z144)</f>
        <v>0</v>
      </c>
      <c r="AK141" s="31"/>
    </row>
    <row r="142" spans="3:38">
      <c r="C142" s="30" t="s">
        <v>52</v>
      </c>
      <c r="D142" s="39">
        <v>6</v>
      </c>
      <c r="E142" s="43">
        <f>(AF144-($F$9-AD142)*AF150+($G$9-AF141)*AF149)*$H$9</f>
        <v>0</v>
      </c>
      <c r="F142" s="43">
        <f>(AF145+($E$9-AB142)*AF150-($G$9-AF142)*AF148)*$I$9</f>
        <v>0</v>
      </c>
      <c r="G142" s="43">
        <f>(AF146-($E$9-AB141)*AF149+($F$9-AD141)*AF148)*$J$9</f>
        <v>0</v>
      </c>
      <c r="H142" s="42"/>
      <c r="I142" s="27">
        <f t="shared" si="9"/>
        <v>0</v>
      </c>
      <c r="J142" s="27">
        <f t="shared" si="10"/>
        <v>0</v>
      </c>
      <c r="K142" s="27">
        <f t="shared" si="11"/>
        <v>0</v>
      </c>
      <c r="M142" s="34">
        <v>6</v>
      </c>
      <c r="N142" s="34"/>
      <c r="O142" s="34"/>
      <c r="P142" s="34"/>
      <c r="Q142" s="34"/>
      <c r="R142" s="34"/>
      <c r="S142" s="34"/>
      <c r="T142" s="31"/>
      <c r="U142" s="34"/>
      <c r="V142" s="34"/>
      <c r="W142" s="34"/>
      <c r="X142" s="33"/>
      <c r="Y142" s="34" t="s">
        <v>12</v>
      </c>
      <c r="Z142" s="34"/>
      <c r="AA142" s="33" t="s">
        <v>51</v>
      </c>
      <c r="AB142" s="45">
        <f>IF(Z145=0,0,AB138/Z145)</f>
        <v>6.2598425196850398</v>
      </c>
      <c r="AC142" s="33" t="s">
        <v>50</v>
      </c>
      <c r="AD142" s="45">
        <f>IF(Z144=0,0,AD138/Z144)</f>
        <v>0</v>
      </c>
      <c r="AE142" s="33" t="s">
        <v>49</v>
      </c>
      <c r="AF142" s="45">
        <f>IF(Z145=0,0,AF138/Z145)</f>
        <v>0</v>
      </c>
      <c r="AK142" s="31"/>
    </row>
    <row r="143" spans="3:38">
      <c r="C143" s="30" t="s">
        <v>48</v>
      </c>
      <c r="D143" s="39">
        <v>7</v>
      </c>
      <c r="E143" s="43">
        <f>(AF144-($F$10-AD142)*AF150+($G$10-AF141)*AF149)*$H$10</f>
        <v>0</v>
      </c>
      <c r="F143" s="43">
        <f>(AF145+($E$10-AB142)*AF150-($G$10-AF142)*AF148)*$I$10</f>
        <v>0</v>
      </c>
      <c r="G143" s="43">
        <f>(AF146-($E$10-AB141)*AF149+($F$10-AD141)*AF148)*$J$10</f>
        <v>0</v>
      </c>
      <c r="H143" s="42"/>
      <c r="I143" s="27">
        <f t="shared" si="9"/>
        <v>0</v>
      </c>
      <c r="J143" s="27">
        <f t="shared" si="10"/>
        <v>0</v>
      </c>
      <c r="K143" s="27">
        <f t="shared" si="11"/>
        <v>0</v>
      </c>
      <c r="M143" s="34">
        <v>7</v>
      </c>
      <c r="N143" s="34"/>
      <c r="O143" s="34"/>
      <c r="P143" s="34"/>
      <c r="Q143" s="34"/>
      <c r="R143" s="34"/>
      <c r="S143" s="34"/>
      <c r="T143" s="31"/>
      <c r="U143" s="34"/>
      <c r="V143" s="34"/>
      <c r="W143" s="34"/>
      <c r="X143" s="33"/>
      <c r="Y143" s="34" t="s">
        <v>47</v>
      </c>
      <c r="Z143" s="34"/>
      <c r="AK143" s="31"/>
    </row>
    <row r="144" spans="3:38">
      <c r="C144" s="30" t="s">
        <v>46</v>
      </c>
      <c r="D144" s="39">
        <v>8</v>
      </c>
      <c r="E144" s="43">
        <f>(AF144-($F$11-AD142)*AF150+($G$11-AF141)*AF149)*$H$11</f>
        <v>0</v>
      </c>
      <c r="F144" s="43">
        <f>(AF145+($E$11-AB142)*AF150-($G$11-AF142)*AF148)*$I$11</f>
        <v>0</v>
      </c>
      <c r="G144" s="43">
        <f>(AF146-($E$11-AB141)*AF149+($F$11-AD141)*AF148)*$J$11</f>
        <v>0</v>
      </c>
      <c r="H144" s="42"/>
      <c r="I144" s="27">
        <f t="shared" si="9"/>
        <v>0</v>
      </c>
      <c r="J144" s="27">
        <f t="shared" si="10"/>
        <v>0</v>
      </c>
      <c r="K144" s="27">
        <f t="shared" si="11"/>
        <v>0</v>
      </c>
      <c r="M144" s="34">
        <v>8</v>
      </c>
      <c r="N144" s="34"/>
      <c r="O144" s="34"/>
      <c r="P144" s="34"/>
      <c r="Q144" s="34"/>
      <c r="R144" s="34"/>
      <c r="S144" s="34"/>
      <c r="T144" s="31"/>
      <c r="U144" s="34"/>
      <c r="V144" s="34"/>
      <c r="W144" s="34"/>
      <c r="X144" s="33"/>
      <c r="Y144" s="34" t="s">
        <v>45</v>
      </c>
      <c r="Z144" s="34">
        <f>SUM($H$4:$H$32)</f>
        <v>4</v>
      </c>
      <c r="AA144" s="33" t="s">
        <v>44</v>
      </c>
      <c r="AB144" s="44">
        <f>SUM(Q137:Q161)</f>
        <v>0</v>
      </c>
      <c r="AC144" s="33" t="s">
        <v>43</v>
      </c>
      <c r="AD144" s="33">
        <f>SUM(U137:U161,SUMPRODUCT(S137:S161,(O137:O161-AD141)),-SUMPRODUCT(R137:R161,(P137:P161-AF142)))</f>
        <v>17057.25</v>
      </c>
      <c r="AE144" s="26" t="s">
        <v>42</v>
      </c>
      <c r="AF144" s="26">
        <f>IF(Z144=0,0,AB144/Z144)</f>
        <v>0</v>
      </c>
      <c r="AK144" s="31"/>
    </row>
    <row r="145" spans="3:47">
      <c r="C145" s="30" t="s">
        <v>41</v>
      </c>
      <c r="D145" s="39">
        <v>9</v>
      </c>
      <c r="E145" s="43">
        <f>(AF144-($F$12-AD142)*AF150+($G$12-AF141)*AF149)*$H$12</f>
        <v>0</v>
      </c>
      <c r="F145" s="43">
        <f>(AF145+($E$12-AB142)*AF150-($G$12-AF142)*AF148)*$I$12</f>
        <v>0</v>
      </c>
      <c r="G145" s="43">
        <f>(AF146-($E$12-AB141)*AF149+($F$12-AD141)*AF148)*$J$12</f>
        <v>0</v>
      </c>
      <c r="H145" s="42"/>
      <c r="I145" s="27">
        <f t="shared" si="9"/>
        <v>0</v>
      </c>
      <c r="J145" s="27">
        <f t="shared" si="10"/>
        <v>0</v>
      </c>
      <c r="K145" s="27">
        <f t="shared" si="11"/>
        <v>0</v>
      </c>
      <c r="M145" s="34">
        <v>9</v>
      </c>
      <c r="N145" s="34"/>
      <c r="O145" s="34"/>
      <c r="P145" s="34"/>
      <c r="Q145" s="34"/>
      <c r="R145" s="34"/>
      <c r="S145" s="34"/>
      <c r="T145" s="31"/>
      <c r="U145" s="34"/>
      <c r="V145" s="34"/>
      <c r="W145" s="34"/>
      <c r="X145" s="33"/>
      <c r="Y145" s="34" t="s">
        <v>40</v>
      </c>
      <c r="Z145" s="34">
        <f>SUM($I$4:$I$32)</f>
        <v>4</v>
      </c>
      <c r="AA145" s="33" t="s">
        <v>39</v>
      </c>
      <c r="AB145" s="33">
        <f>SUM(R137:R161)</f>
        <v>-568.57500000000005</v>
      </c>
      <c r="AC145" s="33" t="s">
        <v>38</v>
      </c>
      <c r="AD145" s="33">
        <f>SUM(V137:V161,SUMPRODUCT(Q137:Q161,(P137:P161-AF141)),-SUMPRODUCT(S137:S161,(N137:N161-AB141)))</f>
        <v>0</v>
      </c>
      <c r="AE145" s="26" t="s">
        <v>37</v>
      </c>
      <c r="AF145" s="26">
        <f>IF(Z145=0,0,AB145/Z145)</f>
        <v>-142.14375000000001</v>
      </c>
      <c r="AK145" s="31"/>
    </row>
    <row r="146" spans="3:47">
      <c r="C146" s="30"/>
      <c r="D146" s="39">
        <v>10</v>
      </c>
      <c r="E146" s="43">
        <f>(AF144-($F$13-AD142)*AF150+($G$13-AF141)*AF149)*$H$13</f>
        <v>0</v>
      </c>
      <c r="F146" s="43">
        <f>(AF145+($E$13-AB142)*AF150-($G$13-AF142)*AF148)*$I$13</f>
        <v>0</v>
      </c>
      <c r="G146" s="43">
        <f>(AF146-($E$13-AB141)*AF149+($F$13-AD141)*AF148)*$J$13</f>
        <v>0</v>
      </c>
      <c r="H146" s="42"/>
      <c r="I146" s="27">
        <f t="shared" si="9"/>
        <v>0</v>
      </c>
      <c r="J146" s="27">
        <f t="shared" si="10"/>
        <v>0</v>
      </c>
      <c r="K146" s="27">
        <f t="shared" si="11"/>
        <v>0</v>
      </c>
      <c r="M146" s="34">
        <v>10</v>
      </c>
      <c r="N146" s="34"/>
      <c r="O146" s="34"/>
      <c r="P146" s="34"/>
      <c r="Q146" s="34"/>
      <c r="R146" s="34"/>
      <c r="S146" s="34"/>
      <c r="T146" s="31"/>
      <c r="U146" s="34"/>
      <c r="V146" s="34"/>
      <c r="W146" s="34"/>
      <c r="X146" s="33"/>
      <c r="Y146" s="34" t="s">
        <v>36</v>
      </c>
      <c r="Z146" s="34">
        <f>SUM($J$4:$J$32)</f>
        <v>4</v>
      </c>
      <c r="AA146" s="33" t="s">
        <v>35</v>
      </c>
      <c r="AB146" s="33">
        <f>SUM(S137:S161)</f>
        <v>0</v>
      </c>
      <c r="AC146" s="33" t="s">
        <v>34</v>
      </c>
      <c r="AD146" s="33">
        <f>SUM(W137:W161,SUMPRODUCT(R137:R161,(N137:N161-AB142)),-SUMPRODUCT(Q137:Q161,(O137:O161-AD142)))</f>
        <v>-3263.7100393700789</v>
      </c>
      <c r="AE146" s="26" t="s">
        <v>33</v>
      </c>
      <c r="AF146" s="26">
        <f>IF(Z146=0,0,AB146/Z146)</f>
        <v>0</v>
      </c>
      <c r="AK146" s="31"/>
    </row>
    <row r="147" spans="3:47">
      <c r="C147" s="30"/>
      <c r="D147" s="39">
        <v>11</v>
      </c>
      <c r="E147" s="43">
        <f>(AF144-($F$14-AD142)*AF150+($G$14-AF141)*AF149)*$H$14</f>
        <v>0</v>
      </c>
      <c r="F147" s="43">
        <f>(AF145+($E$14-AB142)*AF150-($G$14-AF142)*AF148)*$I$14</f>
        <v>0</v>
      </c>
      <c r="G147" s="43">
        <f>(AF146-($E$14-AB141)*AF149+($F$14-AD141)*AF148)*$J$14</f>
        <v>0</v>
      </c>
      <c r="H147" s="42"/>
      <c r="I147" s="27">
        <f t="shared" si="9"/>
        <v>0</v>
      </c>
      <c r="J147" s="27">
        <f t="shared" si="10"/>
        <v>0</v>
      </c>
      <c r="K147" s="27">
        <f t="shared" si="11"/>
        <v>0</v>
      </c>
      <c r="M147" s="34">
        <v>11</v>
      </c>
      <c r="N147" s="34"/>
      <c r="O147" s="34"/>
      <c r="P147" s="34"/>
      <c r="Q147" s="34"/>
      <c r="R147" s="34"/>
      <c r="S147" s="34"/>
      <c r="T147" s="31"/>
      <c r="U147" s="34"/>
      <c r="V147" s="34"/>
      <c r="W147" s="34"/>
      <c r="X147" s="33"/>
      <c r="AK147" s="31"/>
    </row>
    <row r="148" spans="3:47">
      <c r="C148" s="30"/>
      <c r="D148" s="39">
        <v>12</v>
      </c>
      <c r="E148" s="28">
        <f>(AF144-($F$15-AD142)*AF150+($G$15-AF141)*AF149)*$H$15</f>
        <v>0</v>
      </c>
      <c r="F148" s="28">
        <f>(AF145+($E$15-AB142)*AF150-($G$15-AF142)*AF148)*$I$15</f>
        <v>0</v>
      </c>
      <c r="G148" s="28">
        <f>(AF146-($E$15-AB141)*AF149+($F$15-AD141)*AF148)*$J$15</f>
        <v>0</v>
      </c>
      <c r="I148" s="27">
        <f t="shared" si="9"/>
        <v>0</v>
      </c>
      <c r="J148" s="27">
        <f t="shared" si="10"/>
        <v>0</v>
      </c>
      <c r="K148" s="27">
        <f t="shared" si="11"/>
        <v>0</v>
      </c>
      <c r="M148" s="34">
        <v>12</v>
      </c>
      <c r="N148" s="34"/>
      <c r="O148" s="34"/>
      <c r="P148" s="34"/>
      <c r="Q148" s="34"/>
      <c r="R148" s="34"/>
      <c r="S148" s="34"/>
      <c r="T148" s="31"/>
      <c r="U148" s="34"/>
      <c r="V148" s="34"/>
      <c r="W148" s="34"/>
      <c r="X148" s="33"/>
      <c r="Y148" s="36">
        <v>1</v>
      </c>
      <c r="Z148" s="38">
        <f>AF140+AD139-Z146*AD141^2-Z145*AF142^2</f>
        <v>112.995225990452</v>
      </c>
      <c r="AA148" s="35">
        <v>1</v>
      </c>
      <c r="AB148" s="26">
        <f>Z150*Z149^2-Z149*Z152^2</f>
        <v>6626974.9209806556</v>
      </c>
      <c r="AC148" s="37">
        <v>1</v>
      </c>
      <c r="AD148" s="26">
        <f>Z150*Z149-Z152^2</f>
        <v>42279.371267155962</v>
      </c>
      <c r="AE148" s="40">
        <v>1</v>
      </c>
      <c r="AF148" s="26">
        <f>IF(Z148=0,0,IF(Z149=0,AD144/Z150,IF(Z150=0,AD144/Z149,(AD144*AB148+AD145*AB149+AD146*AB150)/(AD148*AD149-AD150))))</f>
        <v>150.95549259259255</v>
      </c>
      <c r="AK148" s="31"/>
    </row>
    <row r="149" spans="3:47">
      <c r="C149" s="30"/>
      <c r="D149" s="39">
        <v>13</v>
      </c>
      <c r="E149" s="28">
        <f>(AF144-($F$16-AD142)*AF150+($G$16-AF141)*AF149)*$H$16</f>
        <v>0</v>
      </c>
      <c r="F149" s="28">
        <f>(AF145+($E$16-AB142)*AF150-($G$16-AF142)*AF148)*$I$16</f>
        <v>0</v>
      </c>
      <c r="G149" s="28">
        <f>(AF146-($E$16-AB141)*AF149+($F$16-AD141)*AF148)*$J$16</f>
        <v>0</v>
      </c>
      <c r="I149" s="27">
        <f t="shared" si="9"/>
        <v>0</v>
      </c>
      <c r="J149" s="27">
        <f t="shared" si="10"/>
        <v>0</v>
      </c>
      <c r="K149" s="27">
        <f t="shared" si="11"/>
        <v>0</v>
      </c>
      <c r="M149" s="34">
        <v>13</v>
      </c>
      <c r="N149" s="34"/>
      <c r="O149" s="34"/>
      <c r="P149" s="34"/>
      <c r="Q149" s="34"/>
      <c r="R149" s="34"/>
      <c r="S149" s="34"/>
      <c r="T149" s="31"/>
      <c r="U149" s="34"/>
      <c r="V149" s="34"/>
      <c r="W149" s="34"/>
      <c r="X149" s="33"/>
      <c r="Y149" s="36">
        <v>2</v>
      </c>
      <c r="Z149" s="38">
        <f>AF139+AB139-Z146*AB141^2-Z144*AF141^2</f>
        <v>156.74251348502699</v>
      </c>
      <c r="AA149" s="35">
        <v>2</v>
      </c>
      <c r="AB149" s="41">
        <f>Z149*Z150*Z151+Z149*Z152*Z153</f>
        <v>0</v>
      </c>
      <c r="AC149" s="37">
        <v>2</v>
      </c>
      <c r="AD149" s="26">
        <f>Z148*Z149-Z151^2</f>
        <v>17711.155733552096</v>
      </c>
      <c r="AE149" s="40">
        <v>2</v>
      </c>
      <c r="AF149" s="26">
        <f>IF(Z148=0,AD145/Z150,IF(Z149=0,0,IF(Z150=0,AD145/Z148,(AD145*AB151+AD144*AB152+AD146*AB153)/(AD151*AD149-AD153))))</f>
        <v>0</v>
      </c>
      <c r="AK149" s="31"/>
    </row>
    <row r="150" spans="3:47">
      <c r="C150" s="30"/>
      <c r="D150" s="39">
        <v>14</v>
      </c>
      <c r="E150" s="28">
        <f>(AF144-($F$17-AD142)*AF150+($G$17-AF141)*AF149)*$H$17</f>
        <v>0</v>
      </c>
      <c r="F150" s="28">
        <f>(AF145+($E$17-AB142)*AF150-($G$17-AF142)*AF148)*$I$17</f>
        <v>0</v>
      </c>
      <c r="G150" s="28">
        <f>(AF146-($E$17-AB141)*AF149+($F$17-AD141)*AF148)*$J$17</f>
        <v>0</v>
      </c>
      <c r="I150" s="27">
        <f t="shared" si="9"/>
        <v>0</v>
      </c>
      <c r="J150" s="27">
        <f t="shared" si="10"/>
        <v>0</v>
      </c>
      <c r="K150" s="27">
        <f t="shared" si="11"/>
        <v>0</v>
      </c>
      <c r="M150" s="34">
        <v>14</v>
      </c>
      <c r="N150" s="34"/>
      <c r="O150" s="34"/>
      <c r="P150" s="34"/>
      <c r="Q150" s="34"/>
      <c r="R150" s="34"/>
      <c r="S150" s="34"/>
      <c r="T150" s="31"/>
      <c r="U150" s="34"/>
      <c r="V150" s="34"/>
      <c r="W150" s="34"/>
      <c r="X150" s="33"/>
      <c r="Y150" s="36">
        <v>3</v>
      </c>
      <c r="Z150" s="38">
        <f>AD140+AB140-Z145*AB142^2-Z144*AD142^2</f>
        <v>269.73773947547897</v>
      </c>
      <c r="AA150" s="35">
        <v>3</v>
      </c>
      <c r="AB150" s="26">
        <f>Z153*Z149^2+Z149*Z151*Z152</f>
        <v>0</v>
      </c>
      <c r="AC150" s="37">
        <v>3</v>
      </c>
      <c r="AD150" s="26">
        <f>(Z149*Z153+Z151*Z152)^2</f>
        <v>0</v>
      </c>
      <c r="AE150" s="40">
        <v>3</v>
      </c>
      <c r="AF150" s="38">
        <f>IF(Z148=0,AD146/Z149,IF(Z149=0,AD146/Z148,IF(Z150=0,0,(AD146*AB154+AD144*AB155+AD145*AB153)/(AD149*AD151-AD153))))</f>
        <v>-12.099567697558959</v>
      </c>
    </row>
    <row r="151" spans="3:47">
      <c r="C151" s="30"/>
      <c r="D151" s="39">
        <v>15</v>
      </c>
      <c r="E151" s="28">
        <f>(AF144-($F$18-AD142)*AF150+($G$18-AF141)*AF149)*$H$18</f>
        <v>0</v>
      </c>
      <c r="F151" s="28">
        <f>(AF145+($E$18-AB142)*AF150-($G$18-AF142)*AF148)*$I$18</f>
        <v>0</v>
      </c>
      <c r="G151" s="28">
        <f>(AF146-($E$18-AB141)*AF149+($F$18-AD141)*AF148)*$J$18</f>
        <v>0</v>
      </c>
      <c r="I151" s="27">
        <f t="shared" si="9"/>
        <v>0</v>
      </c>
      <c r="J151" s="27">
        <f t="shared" si="10"/>
        <v>0</v>
      </c>
      <c r="K151" s="27">
        <f t="shared" si="11"/>
        <v>0</v>
      </c>
      <c r="M151" s="34">
        <v>15</v>
      </c>
      <c r="N151" s="34"/>
      <c r="O151" s="34"/>
      <c r="P151" s="34"/>
      <c r="Q151" s="34"/>
      <c r="R151" s="34"/>
      <c r="S151" s="34"/>
      <c r="T151" s="31"/>
      <c r="U151" s="34"/>
      <c r="V151" s="34"/>
      <c r="W151" s="34"/>
      <c r="X151" s="33"/>
      <c r="Y151" s="36">
        <v>4</v>
      </c>
      <c r="Z151" s="38">
        <f>AB136-AD141*AB141*Z146</f>
        <v>0</v>
      </c>
      <c r="AA151" s="35">
        <v>4</v>
      </c>
      <c r="AB151" s="26">
        <f>Z150*Z148^2-Z148*Z153^2</f>
        <v>3443990.1744071501</v>
      </c>
      <c r="AC151" s="37">
        <v>4</v>
      </c>
      <c r="AD151" s="26">
        <f>Z150*Z148-Z153^2</f>
        <v>30479.076830185411</v>
      </c>
    </row>
    <row r="152" spans="3:47">
      <c r="C152" s="30"/>
      <c r="D152" s="29">
        <v>16</v>
      </c>
      <c r="E152" s="28">
        <f>(AF144-($F$19-AD142)*AF150+($G$19-AF141)*AF149)*$H$19</f>
        <v>0</v>
      </c>
      <c r="F152" s="28">
        <f>(AF145+($E$19-AB142)*AF150-($G$19-AF142)*AF148)*$I$19</f>
        <v>0</v>
      </c>
      <c r="G152" s="28">
        <f>(AF146-($E$19-AB141)*AF149+($F$19-AD141)*AF148)*$J$19</f>
        <v>0</v>
      </c>
      <c r="I152" s="27">
        <f t="shared" si="9"/>
        <v>0</v>
      </c>
      <c r="J152" s="27">
        <f t="shared" si="10"/>
        <v>0</v>
      </c>
      <c r="K152" s="27">
        <f t="shared" si="11"/>
        <v>0</v>
      </c>
      <c r="M152" s="34">
        <v>16</v>
      </c>
      <c r="N152" s="34"/>
      <c r="O152" s="34"/>
      <c r="P152" s="34"/>
      <c r="Q152" s="34"/>
      <c r="R152" s="34"/>
      <c r="S152" s="34"/>
      <c r="T152" s="31"/>
      <c r="U152" s="34"/>
      <c r="V152" s="34"/>
      <c r="W152" s="34"/>
      <c r="X152" s="33"/>
      <c r="Y152" s="36">
        <v>5</v>
      </c>
      <c r="Z152" s="38">
        <f>AD136-AD142*AF141*Z144</f>
        <v>0</v>
      </c>
      <c r="AA152" s="35">
        <v>5</v>
      </c>
      <c r="AB152" s="26">
        <f>Z148*Z150*Z151+Z148*Z152*Z153</f>
        <v>0</v>
      </c>
      <c r="AC152" s="37"/>
    </row>
    <row r="153" spans="3:47">
      <c r="C153" s="30"/>
      <c r="D153" s="29">
        <v>17</v>
      </c>
      <c r="E153" s="28">
        <f>(AF144-($F$20-AD142)*AF150+($G$20-AF141)*AF149)*$H$20</f>
        <v>0</v>
      </c>
      <c r="F153" s="28">
        <f>(AF145+($E$20-AB142)*AF150-($G$20-AF142)*AF148)*$I$20</f>
        <v>0</v>
      </c>
      <c r="G153" s="28">
        <f>(AF146-($E$20-AB141)*AF149+($F$20-AD141)*AF148)*$J$20</f>
        <v>0</v>
      </c>
      <c r="I153" s="27">
        <f t="shared" si="9"/>
        <v>0</v>
      </c>
      <c r="J153" s="27">
        <f t="shared" si="10"/>
        <v>0</v>
      </c>
      <c r="K153" s="27">
        <f t="shared" si="11"/>
        <v>0</v>
      </c>
      <c r="M153" s="34">
        <v>17</v>
      </c>
      <c r="N153" s="34"/>
      <c r="O153" s="34"/>
      <c r="P153" s="34"/>
      <c r="Q153" s="34"/>
      <c r="R153" s="34"/>
      <c r="S153" s="34"/>
      <c r="T153" s="31"/>
      <c r="U153" s="34"/>
      <c r="V153" s="34"/>
      <c r="W153" s="34"/>
      <c r="X153" s="33"/>
      <c r="Y153" s="36">
        <v>6</v>
      </c>
      <c r="Z153" s="38">
        <f>AF136-AB142*AF142*Z145</f>
        <v>0</v>
      </c>
      <c r="AA153" s="35">
        <v>6</v>
      </c>
      <c r="AB153" s="26">
        <f>Z152*Z148^2+Z148*Z151*Z153</f>
        <v>0</v>
      </c>
      <c r="AC153" s="37">
        <v>6</v>
      </c>
      <c r="AD153" s="26">
        <f>(Z148*Z152+Z151*Z153)^2</f>
        <v>0</v>
      </c>
    </row>
    <row r="154" spans="3:47">
      <c r="C154" s="30"/>
      <c r="D154" s="29">
        <v>18</v>
      </c>
      <c r="E154" s="28">
        <f>(AF144-($F$21-AD142)*AF150+($G$21-AF141)*AF149)*$H$21</f>
        <v>0</v>
      </c>
      <c r="F154" s="28">
        <f>(AF145+($E$21-AB142)*AF150-($G$21-AF142)*AF148)*$I$21</f>
        <v>0</v>
      </c>
      <c r="G154" s="28">
        <f>(AF146-($E$21-AB141)*AF149+($F$21-AD141)*AF148)*$J$21</f>
        <v>0</v>
      </c>
      <c r="I154" s="27">
        <f t="shared" si="9"/>
        <v>0</v>
      </c>
      <c r="J154" s="27">
        <f t="shared" si="10"/>
        <v>0</v>
      </c>
      <c r="K154" s="27">
        <f t="shared" si="11"/>
        <v>0</v>
      </c>
      <c r="M154" s="34">
        <v>18</v>
      </c>
      <c r="N154" s="34"/>
      <c r="O154" s="34"/>
      <c r="P154" s="34"/>
      <c r="Q154" s="34"/>
      <c r="R154" s="34"/>
      <c r="S154" s="34"/>
      <c r="T154" s="31"/>
      <c r="U154" s="34"/>
      <c r="V154" s="34"/>
      <c r="W154" s="34"/>
      <c r="X154" s="33"/>
      <c r="Y154" s="36"/>
      <c r="AA154" s="35">
        <v>7</v>
      </c>
      <c r="AB154" s="26">
        <f>Z149*Z148^2-Z148*Z151^2</f>
        <v>2001276.0446648085</v>
      </c>
    </row>
    <row r="155" spans="3:47">
      <c r="C155" s="30"/>
      <c r="D155" s="29">
        <v>19</v>
      </c>
      <c r="E155" s="28">
        <f>(AF144-($F$22-AD142)*AF150+($G$22-AF141)*AF149)*$H$22</f>
        <v>0</v>
      </c>
      <c r="F155" s="28">
        <f>(AF145+($E$22-AB142)*AF150-($G$22-AF142)*AF148)*$I$22</f>
        <v>0</v>
      </c>
      <c r="G155" s="28">
        <f>(AF146-($E$22-AB141)*AF149+($F$22-AD141)*AF148)*$J$22</f>
        <v>0</v>
      </c>
      <c r="I155" s="27">
        <f t="shared" si="9"/>
        <v>0</v>
      </c>
      <c r="J155" s="27">
        <f t="shared" si="10"/>
        <v>0</v>
      </c>
      <c r="K155" s="27">
        <f t="shared" si="11"/>
        <v>0</v>
      </c>
      <c r="M155" s="34">
        <v>19</v>
      </c>
      <c r="N155" s="34"/>
      <c r="O155" s="34"/>
      <c r="P155" s="34"/>
      <c r="Q155" s="34"/>
      <c r="R155" s="34"/>
      <c r="S155" s="34"/>
      <c r="T155" s="31"/>
      <c r="U155" s="34"/>
      <c r="V155" s="34"/>
      <c r="W155" s="34"/>
      <c r="X155" s="33"/>
      <c r="AA155" s="35">
        <v>8</v>
      </c>
      <c r="AB155" s="26">
        <f>Z148*Z149*Z153+Z148*Z152*Z151</f>
        <v>0</v>
      </c>
    </row>
    <row r="156" spans="3:47">
      <c r="C156" s="30"/>
      <c r="D156" s="29">
        <v>20</v>
      </c>
      <c r="E156" s="28">
        <f>(AF144-($F$23-AD142)*AF150+($G$23-AF141)*AF149)*$H$23</f>
        <v>0</v>
      </c>
      <c r="F156" s="28">
        <f>(AF145+($E$23-AB142)*AF150-($G$23-AF142)*AF148)*$I$23</f>
        <v>0</v>
      </c>
      <c r="G156" s="28">
        <f>(AF146-($E$23-AB141)*AF149+($F$23-AD141)*AF148)*$J$23</f>
        <v>0</v>
      </c>
      <c r="I156" s="27">
        <f t="shared" si="9"/>
        <v>0</v>
      </c>
      <c r="J156" s="27">
        <f t="shared" si="10"/>
        <v>0</v>
      </c>
      <c r="K156" s="27">
        <f t="shared" si="11"/>
        <v>0</v>
      </c>
      <c r="M156" s="34">
        <v>20</v>
      </c>
      <c r="N156" s="34"/>
      <c r="O156" s="34"/>
      <c r="P156" s="34"/>
      <c r="Q156" s="34"/>
      <c r="R156" s="34"/>
      <c r="S156" s="34"/>
      <c r="T156" s="31"/>
      <c r="U156" s="34"/>
      <c r="V156" s="34"/>
      <c r="W156" s="34"/>
      <c r="X156" s="33"/>
      <c r="Y156" s="33"/>
      <c r="Z156" s="33"/>
      <c r="AA156" s="33"/>
      <c r="AB156" s="33"/>
      <c r="AC156" s="33"/>
      <c r="AD156" s="33"/>
    </row>
    <row r="157" spans="3:47">
      <c r="C157" s="30"/>
      <c r="D157" s="29">
        <v>21</v>
      </c>
      <c r="E157" s="28">
        <f>(AF144-($F$24-AD142)*AF150+($G$24-AF141)*AF149)*$H$24</f>
        <v>0</v>
      </c>
      <c r="F157" s="28">
        <f>(AF145+($E$24-AB142)*AF150-($G$24-AF142)*AF148)*$I$24</f>
        <v>0</v>
      </c>
      <c r="G157" s="28">
        <f>(AF146-($E$24-AB141)*AF149+($F$24-AD141)*AF148)*$J$24</f>
        <v>0</v>
      </c>
      <c r="I157" s="27">
        <f t="shared" si="9"/>
        <v>0</v>
      </c>
      <c r="J157" s="27">
        <f t="shared" si="10"/>
        <v>0</v>
      </c>
      <c r="K157" s="27">
        <f t="shared" si="11"/>
        <v>0</v>
      </c>
      <c r="M157" s="34">
        <v>21</v>
      </c>
      <c r="N157" s="34"/>
      <c r="O157" s="34"/>
      <c r="P157" s="34"/>
      <c r="Q157" s="34"/>
      <c r="R157" s="34"/>
      <c r="S157" s="34"/>
      <c r="T157" s="31"/>
      <c r="U157" s="34"/>
      <c r="V157" s="34"/>
      <c r="W157" s="34"/>
      <c r="X157" s="33"/>
      <c r="Y157" s="33"/>
      <c r="Z157" s="33"/>
      <c r="AA157" s="33"/>
      <c r="AB157" s="33"/>
      <c r="AC157" s="33"/>
      <c r="AD157" s="33"/>
    </row>
    <row r="158" spans="3:47">
      <c r="C158" s="30"/>
      <c r="D158" s="29">
        <v>22</v>
      </c>
      <c r="E158" s="28">
        <f>(AF144-($F$25-AD142)*AF150+($G$25-AF141)*AF149)*$H$25</f>
        <v>0</v>
      </c>
      <c r="F158" s="28">
        <f>(AF145+($E$25-AB142)*AF150-($G$25-AF142)*AF148)*$I$25</f>
        <v>0</v>
      </c>
      <c r="G158" s="28">
        <f>(AF146-($E$25-AB141)*AF149+($F$25-AD141)*AF148)*$J$25</f>
        <v>0</v>
      </c>
      <c r="I158" s="27">
        <f t="shared" si="9"/>
        <v>0</v>
      </c>
      <c r="J158" s="27">
        <f t="shared" si="10"/>
        <v>0</v>
      </c>
      <c r="K158" s="27">
        <f t="shared" si="11"/>
        <v>0</v>
      </c>
      <c r="M158" s="34">
        <v>22</v>
      </c>
      <c r="N158" s="34"/>
      <c r="O158" s="34"/>
      <c r="P158" s="34"/>
      <c r="Q158" s="34"/>
      <c r="R158" s="34"/>
      <c r="S158" s="34"/>
      <c r="T158" s="31"/>
      <c r="U158" s="34"/>
      <c r="V158" s="34"/>
      <c r="W158" s="34"/>
      <c r="X158" s="33"/>
      <c r="Y158" s="33"/>
      <c r="Z158" s="33"/>
      <c r="AA158" s="33"/>
      <c r="AB158" s="33"/>
      <c r="AC158" s="33"/>
      <c r="AD158" s="33"/>
    </row>
    <row r="159" spans="3:47">
      <c r="C159" s="30"/>
      <c r="D159" s="29">
        <v>23</v>
      </c>
      <c r="E159" s="28">
        <f>(AF144-($F$26-AD142)*AF150+($G$26-AF141)*AF149)*$H$26</f>
        <v>0</v>
      </c>
      <c r="F159" s="28">
        <f>(AF145+($E$26-AB142)*AF150-($G$26-AF142)*AF148)*$I$26</f>
        <v>0</v>
      </c>
      <c r="G159" s="28">
        <f>(AF146-($E$26-AB141)*AF149+($F$26-AD141)*AF148)*$J$26</f>
        <v>0</v>
      </c>
      <c r="I159" s="27">
        <f t="shared" si="9"/>
        <v>0</v>
      </c>
      <c r="J159" s="27">
        <f t="shared" si="10"/>
        <v>0</v>
      </c>
      <c r="K159" s="27">
        <f t="shared" si="11"/>
        <v>0</v>
      </c>
      <c r="M159" s="34">
        <v>23</v>
      </c>
      <c r="N159" s="34"/>
      <c r="O159" s="34"/>
      <c r="P159" s="34"/>
      <c r="Q159" s="34"/>
      <c r="R159" s="34"/>
      <c r="S159" s="34"/>
      <c r="T159" s="31"/>
      <c r="U159" s="34"/>
      <c r="V159" s="34"/>
      <c r="W159" s="34"/>
      <c r="X159" s="33"/>
      <c r="Y159" s="33"/>
      <c r="Z159" s="33"/>
      <c r="AA159" s="33"/>
      <c r="AB159" s="33"/>
      <c r="AC159" s="33"/>
      <c r="AD159" s="33"/>
    </row>
    <row r="160" spans="3:47">
      <c r="C160" s="30"/>
      <c r="D160" s="29">
        <v>24</v>
      </c>
      <c r="E160" s="28">
        <f>(AF144-($F$27-AD142)*AF150+($G$27-AF141)*AF149)*$H$27</f>
        <v>0</v>
      </c>
      <c r="F160" s="28">
        <f>(AF145+($E$27-AB142)*AF150-($G$27-AF142)*AF148)*$I$27</f>
        <v>0</v>
      </c>
      <c r="G160" s="28">
        <f>(AF146-($E$27-AB141)*AF149+($F$27-AD141)*AF148)*$J$27</f>
        <v>0</v>
      </c>
      <c r="I160" s="27">
        <f t="shared" si="9"/>
        <v>0</v>
      </c>
      <c r="J160" s="27">
        <f t="shared" si="10"/>
        <v>0</v>
      </c>
      <c r="K160" s="27">
        <f t="shared" si="11"/>
        <v>0</v>
      </c>
      <c r="L160" s="31"/>
      <c r="M160" s="34">
        <v>24</v>
      </c>
      <c r="N160" s="34"/>
      <c r="O160" s="34"/>
      <c r="P160" s="34"/>
      <c r="Q160" s="34"/>
      <c r="R160" s="34"/>
      <c r="S160" s="34"/>
      <c r="T160" s="31"/>
      <c r="U160" s="34"/>
      <c r="V160" s="34"/>
      <c r="W160" s="34"/>
      <c r="X160" s="33"/>
      <c r="Y160" s="33"/>
      <c r="Z160" s="33"/>
      <c r="AA160" s="33"/>
      <c r="AB160" s="33"/>
      <c r="AC160" s="33"/>
      <c r="AD160" s="33"/>
      <c r="AF160" s="31"/>
      <c r="AG160" s="31"/>
      <c r="AH160" s="31"/>
      <c r="AI160" s="31"/>
      <c r="AJ160" s="31"/>
      <c r="AM160" s="31"/>
      <c r="AN160" s="31"/>
      <c r="AO160" s="31"/>
      <c r="AP160" s="31"/>
      <c r="AQ160" s="31"/>
      <c r="AR160" s="31"/>
      <c r="AS160" s="31"/>
      <c r="AT160" s="31"/>
      <c r="AU160" s="31"/>
    </row>
    <row r="161" spans="3:38">
      <c r="C161" s="30"/>
      <c r="D161" s="29">
        <v>25</v>
      </c>
      <c r="E161" s="28">
        <f>(AF144-($F$28-AD142)*AF150+($G$28-AF141)*AF149)*$H$28</f>
        <v>0</v>
      </c>
      <c r="F161" s="28">
        <f>(AF145+($E$28-AB142)*AF150-($G$28-AF142)*AF148)*$I$28</f>
        <v>0</v>
      </c>
      <c r="G161" s="28">
        <f>(AF146-($E$28-AB141)*AF149+($F$28-AD141)*AF148)*$J$28</f>
        <v>0</v>
      </c>
      <c r="I161" s="27">
        <f t="shared" si="9"/>
        <v>0</v>
      </c>
      <c r="J161" s="27">
        <f t="shared" si="10"/>
        <v>0</v>
      </c>
      <c r="K161" s="27">
        <f t="shared" si="11"/>
        <v>0</v>
      </c>
      <c r="M161" s="34">
        <v>25</v>
      </c>
      <c r="N161" s="34"/>
      <c r="O161" s="34"/>
      <c r="P161" s="34"/>
      <c r="Q161" s="34"/>
      <c r="R161" s="34"/>
      <c r="S161" s="34"/>
      <c r="T161" s="31"/>
      <c r="U161" s="34"/>
      <c r="V161" s="34"/>
      <c r="W161" s="34"/>
      <c r="X161" s="33"/>
      <c r="Y161" s="33"/>
      <c r="Z161" s="33"/>
      <c r="AA161" s="33"/>
      <c r="AB161" s="33"/>
      <c r="AC161" s="33"/>
      <c r="AD161" s="33"/>
    </row>
    <row r="162" spans="3:38">
      <c r="C162" s="30"/>
      <c r="D162" s="29">
        <v>26</v>
      </c>
      <c r="E162" s="28">
        <f>(AF144-($F$29-AD142)*AF150+($G$29-AF141)*AF149)*$H$29</f>
        <v>0</v>
      </c>
      <c r="F162" s="28">
        <f>(AF145+($E$29-AB142)*AF150-($G$29-AF142)*AF148)*$I$29</f>
        <v>0</v>
      </c>
      <c r="G162" s="28">
        <f>(AF146-($E$29-AB141)*AF149+($F$29-AD141)*AF148)*$J$29</f>
        <v>0</v>
      </c>
      <c r="I162" s="27">
        <f t="shared" si="9"/>
        <v>0</v>
      </c>
      <c r="J162" s="27">
        <f t="shared" si="10"/>
        <v>0</v>
      </c>
      <c r="K162" s="27">
        <f t="shared" si="11"/>
        <v>0</v>
      </c>
      <c r="M162" s="33"/>
      <c r="N162" s="33"/>
      <c r="O162" s="33"/>
      <c r="P162" s="33"/>
      <c r="Q162" s="33"/>
      <c r="R162" s="33"/>
      <c r="S162" s="33"/>
      <c r="U162" s="33"/>
      <c r="V162" s="33"/>
      <c r="W162" s="33"/>
      <c r="X162" s="33"/>
      <c r="Y162" s="33"/>
      <c r="Z162" s="33"/>
      <c r="AA162" s="33"/>
      <c r="AB162" s="33"/>
      <c r="AC162" s="33"/>
      <c r="AD162" s="33"/>
      <c r="AK162" s="31"/>
      <c r="AL162" s="31"/>
    </row>
    <row r="163" spans="3:38">
      <c r="C163" s="30"/>
      <c r="D163" s="29">
        <v>27</v>
      </c>
      <c r="E163" s="28">
        <f>(AF144-($F$30-AD142)*AF150+($G$30-AF141)*AF149)*$H$30</f>
        <v>0</v>
      </c>
      <c r="F163" s="28">
        <f>(AF145+($E$30-AB142)*AF150-($G$30-AF142)*AF148)*$I$30</f>
        <v>0</v>
      </c>
      <c r="G163" s="28">
        <f>(AF146-($E$30-AB141)*AF149+($F$30-AD141)*AF148)*$J$30</f>
        <v>0</v>
      </c>
      <c r="I163" s="27">
        <f t="shared" si="9"/>
        <v>0</v>
      </c>
      <c r="J163" s="27">
        <f t="shared" si="10"/>
        <v>0</v>
      </c>
      <c r="K163" s="27">
        <f t="shared" si="11"/>
        <v>0</v>
      </c>
      <c r="M163" s="31"/>
      <c r="N163" s="32"/>
      <c r="O163" s="32"/>
      <c r="P163" s="32"/>
      <c r="Q163" s="31"/>
      <c r="R163" s="31"/>
      <c r="S163" s="31"/>
      <c r="T163" s="31"/>
      <c r="U163" s="31"/>
      <c r="V163" s="31"/>
      <c r="W163" s="31"/>
      <c r="X163" s="31"/>
      <c r="Y163" s="31"/>
      <c r="Z163" s="31"/>
      <c r="AA163" s="31"/>
      <c r="AB163" s="31"/>
      <c r="AC163" s="31"/>
      <c r="AD163" s="31"/>
      <c r="AE163" s="31"/>
    </row>
    <row r="164" spans="3:38">
      <c r="C164" s="30"/>
      <c r="D164" s="29">
        <v>28</v>
      </c>
      <c r="E164" s="28">
        <f>(AF144-($F$31-AD142)*AF150+($G$31-AF141)*AF149)*$H$31</f>
        <v>0</v>
      </c>
      <c r="F164" s="28">
        <f>(AF145+($E$31-AB142)*AF150-($G$31-AF142)*AF148)*$I$31</f>
        <v>0</v>
      </c>
      <c r="G164" s="28">
        <f>(AF146-($E$31-AB141)*AF149+($F$31-AD141)*AF148)*$J$31</f>
        <v>0</v>
      </c>
      <c r="I164" s="27">
        <f t="shared" si="9"/>
        <v>0</v>
      </c>
      <c r="J164" s="27">
        <f t="shared" si="10"/>
        <v>0</v>
      </c>
      <c r="K164" s="27">
        <f t="shared" si="11"/>
        <v>0</v>
      </c>
    </row>
    <row r="165" spans="3:38">
      <c r="C165" s="30"/>
      <c r="D165" s="29">
        <v>29</v>
      </c>
      <c r="E165" s="28">
        <f>(AF144-($F$32-AD142)*AF150+($G$32-AF141)*AF149)*$H$32</f>
        <v>0</v>
      </c>
      <c r="F165" s="28">
        <f>(AF145+($E$32-AB142)*AF150-($G$32-AF142)*AF148)*$I$32</f>
        <v>0</v>
      </c>
      <c r="G165" s="28">
        <f>(AF146-($E$32-AB141)*AF149+($F$32-AD141)*AF148)*$J$32</f>
        <v>0</v>
      </c>
      <c r="I165" s="27">
        <f t="shared" si="9"/>
        <v>0</v>
      </c>
      <c r="J165" s="27">
        <f t="shared" si="10"/>
        <v>0</v>
      </c>
      <c r="K165" s="27">
        <f t="shared" si="11"/>
        <v>0</v>
      </c>
    </row>
    <row r="167" spans="3:38" ht="15.6">
      <c r="C167" s="52" t="str">
        <f>PURPOSE!C36</f>
        <v>23.561(b)(2)(iv)</v>
      </c>
      <c r="D167" s="51"/>
      <c r="E167" s="51"/>
      <c r="F167" s="51"/>
    </row>
    <row r="168" spans="3:38">
      <c r="AK168" s="31"/>
      <c r="AL168" s="45"/>
    </row>
    <row r="169" spans="3:38" ht="33.6">
      <c r="C169" s="49" t="s">
        <v>98</v>
      </c>
      <c r="D169" s="49" t="s">
        <v>97</v>
      </c>
      <c r="E169" s="49" t="s">
        <v>96</v>
      </c>
      <c r="F169" s="49" t="s">
        <v>95</v>
      </c>
      <c r="G169" s="49" t="s">
        <v>94</v>
      </c>
      <c r="H169" s="50"/>
      <c r="I169" s="49" t="s">
        <v>93</v>
      </c>
      <c r="J169" s="49" t="s">
        <v>92</v>
      </c>
      <c r="K169" s="49" t="s">
        <v>91</v>
      </c>
      <c r="M169" s="49" t="s">
        <v>13</v>
      </c>
      <c r="N169" s="49" t="s">
        <v>90</v>
      </c>
      <c r="O169" s="49" t="s">
        <v>89</v>
      </c>
      <c r="P169" s="49" t="s">
        <v>88</v>
      </c>
      <c r="Q169" s="49" t="s">
        <v>87</v>
      </c>
      <c r="R169" s="49" t="s">
        <v>86</v>
      </c>
      <c r="S169" s="49" t="s">
        <v>85</v>
      </c>
      <c r="T169" s="31"/>
      <c r="U169" s="49" t="s">
        <v>84</v>
      </c>
      <c r="V169" s="49" t="s">
        <v>83</v>
      </c>
      <c r="W169" s="49" t="s">
        <v>82</v>
      </c>
      <c r="X169" s="33"/>
      <c r="Y169" s="34" t="s">
        <v>81</v>
      </c>
      <c r="Z169" s="34">
        <v>1</v>
      </c>
      <c r="AA169" s="33" t="s">
        <v>80</v>
      </c>
      <c r="AB169" s="45">
        <f>SUMPRODUCT($J$4:$J$32,$E$4:$E$32,$F$4:$F$32)</f>
        <v>0</v>
      </c>
      <c r="AC169" s="33" t="s">
        <v>79</v>
      </c>
      <c r="AD169" s="45">
        <f>SUMPRODUCT(H136:H164,F136:F164,G136:G164)</f>
        <v>0</v>
      </c>
      <c r="AE169" s="33" t="s">
        <v>78</v>
      </c>
      <c r="AF169" s="45">
        <f>SUMPRODUCT($I$4:$I$32,$E$4:$E$32,$G$4:$G$32)</f>
        <v>0</v>
      </c>
      <c r="AK169" s="31"/>
    </row>
    <row r="170" spans="3:38">
      <c r="C170" s="30" t="s">
        <v>77</v>
      </c>
      <c r="D170" s="39">
        <v>1</v>
      </c>
      <c r="E170" s="43">
        <f>(AF177-($F$4-AD175)*AF183+($G$4-AF174)*AF182)*$H$4</f>
        <v>0</v>
      </c>
      <c r="F170" s="43">
        <f>(AF178+($E$4-AB175)*AF183-($G$4-AF175)*AF181)*$I$4</f>
        <v>0</v>
      </c>
      <c r="G170" s="43">
        <f>(AF179-($E$4-AB174)*AF182+($F$4-AD174)*AF181)*$J$4</f>
        <v>-47.20245283018869</v>
      </c>
      <c r="H170" s="42"/>
      <c r="I170" s="27">
        <f t="shared" ref="I170:I198" si="12">SQRT(E170^2+F170^2)</f>
        <v>0</v>
      </c>
      <c r="J170" s="27">
        <f t="shared" ref="J170:J198" si="13">SQRT(E170^2+G170^2)</f>
        <v>47.20245283018869</v>
      </c>
      <c r="K170" s="27">
        <f t="shared" ref="K170:K198" si="14">SQRT(F170^2+G170^2)</f>
        <v>47.20245283018869</v>
      </c>
      <c r="M170" s="34">
        <v>1</v>
      </c>
      <c r="N170" s="47">
        <f>N38</f>
        <v>12</v>
      </c>
      <c r="O170" s="47">
        <f>PURPOSE!E25</f>
        <v>0</v>
      </c>
      <c r="P170" s="47">
        <f>P137</f>
        <v>30</v>
      </c>
      <c r="Q170" s="48">
        <f>PURPOSE!E50</f>
        <v>0</v>
      </c>
      <c r="R170" s="48">
        <f>PURPOSE!F50</f>
        <v>0</v>
      </c>
      <c r="S170" s="48">
        <f>PURPOSE!G50</f>
        <v>-2274.3000000000002</v>
      </c>
      <c r="T170" s="31"/>
      <c r="U170" s="34"/>
      <c r="V170" s="34"/>
      <c r="W170" s="34"/>
      <c r="X170" s="33"/>
      <c r="Y170" s="34" t="s">
        <v>76</v>
      </c>
      <c r="Z170" s="34">
        <v>1</v>
      </c>
      <c r="AA170" s="33" t="s">
        <v>75</v>
      </c>
      <c r="AB170" s="45">
        <f>SUMPRODUCT($J$4:$J$32,$E$4:$E$32)</f>
        <v>25.039370078740159</v>
      </c>
      <c r="AC170" s="33" t="s">
        <v>74</v>
      </c>
      <c r="AD170" s="45">
        <f>SUMPRODUCT($J$4:$J$32,$F$4:$F$32)</f>
        <v>0</v>
      </c>
      <c r="AE170" s="33" t="s">
        <v>73</v>
      </c>
      <c r="AF170" s="45">
        <f>SUMPRODUCT($H$4:$H$32,$G$4:$G$32)</f>
        <v>0</v>
      </c>
      <c r="AK170" s="31"/>
    </row>
    <row r="171" spans="3:38">
      <c r="C171" s="30" t="s">
        <v>72</v>
      </c>
      <c r="D171" s="39">
        <v>2</v>
      </c>
      <c r="E171" s="43">
        <f>(AF177-($F$5-AD175)*AF183+($G$5-AF174)*AF182)*$H$5</f>
        <v>0</v>
      </c>
      <c r="F171" s="43">
        <f>(AF178+($E$5-AB175)*AF183-($G$5-AF175)*AF181)*$I$5</f>
        <v>0</v>
      </c>
      <c r="G171" s="43">
        <f>(AF179-($E$5-AB174)*AF182+($F$5-AD174)*AF181)*$J$5</f>
        <v>-47.20245283018869</v>
      </c>
      <c r="H171" s="42"/>
      <c r="I171" s="27">
        <f t="shared" si="12"/>
        <v>0</v>
      </c>
      <c r="J171" s="27">
        <f t="shared" si="13"/>
        <v>47.20245283018869</v>
      </c>
      <c r="K171" s="27">
        <f t="shared" si="14"/>
        <v>47.20245283018869</v>
      </c>
      <c r="M171" s="34">
        <v>2</v>
      </c>
      <c r="N171" s="47"/>
      <c r="O171" s="47"/>
      <c r="P171" s="47"/>
      <c r="Q171" s="47"/>
      <c r="R171" s="46"/>
      <c r="S171" s="46"/>
      <c r="T171" s="31"/>
      <c r="U171" s="34"/>
      <c r="V171" s="34"/>
      <c r="W171" s="34"/>
      <c r="X171" s="33"/>
      <c r="Y171" s="34" t="s">
        <v>71</v>
      </c>
      <c r="Z171" s="34">
        <v>0</v>
      </c>
      <c r="AA171" s="33" t="s">
        <v>70</v>
      </c>
      <c r="AB171" s="45">
        <f>SUMPRODUCT($I$4:$I$32,$E$4:$E$32)</f>
        <v>25.039370078740159</v>
      </c>
      <c r="AC171" s="33" t="s">
        <v>69</v>
      </c>
      <c r="AD171" s="45">
        <f>SUMPRODUCT($H$4:$H$32,$F$4:$F$32)</f>
        <v>0</v>
      </c>
      <c r="AE171" s="33" t="s">
        <v>68</v>
      </c>
      <c r="AF171" s="45">
        <f>SUMPRODUCT($I$4:$I$32,$G$4:$G$32)</f>
        <v>0</v>
      </c>
      <c r="AK171" s="31"/>
    </row>
    <row r="172" spans="3:38">
      <c r="C172" s="30" t="s">
        <v>67</v>
      </c>
      <c r="D172" s="39">
        <v>3</v>
      </c>
      <c r="E172" s="43">
        <f>(AF177-($F$6-AD175)*AF183+($G$6-AF174)*AF182)*$H$6</f>
        <v>0</v>
      </c>
      <c r="F172" s="43">
        <f>(AF178+($E$6-AB175)*AF183-($G$6-AF175)*AF181)*$I$6</f>
        <v>0</v>
      </c>
      <c r="G172" s="43">
        <f>(AF179-($E$6-AB174)*AF182+($F$6-AD174)*AF181)*$J$6</f>
        <v>-1089.9475471698115</v>
      </c>
      <c r="H172" s="42"/>
      <c r="I172" s="27">
        <f t="shared" si="12"/>
        <v>0</v>
      </c>
      <c r="J172" s="27">
        <f t="shared" si="13"/>
        <v>1089.9475471698115</v>
      </c>
      <c r="K172" s="27">
        <f t="shared" si="14"/>
        <v>1089.9475471698115</v>
      </c>
      <c r="M172" s="34">
        <v>3</v>
      </c>
      <c r="N172" s="34"/>
      <c r="O172" s="34"/>
      <c r="P172" s="34"/>
      <c r="Q172" s="34"/>
      <c r="R172" s="34"/>
      <c r="S172" s="34"/>
      <c r="T172" s="31"/>
      <c r="U172" s="34"/>
      <c r="V172" s="34"/>
      <c r="W172" s="34"/>
      <c r="X172" s="33"/>
      <c r="Y172" s="34" t="s">
        <v>66</v>
      </c>
      <c r="Z172" s="34">
        <v>1</v>
      </c>
      <c r="AA172" s="33" t="s">
        <v>65</v>
      </c>
      <c r="AB172" s="45">
        <f>SUMPRODUCT($J$4:$J$32,POWER($E$4:$E$32,2))</f>
        <v>313.48502697005398</v>
      </c>
      <c r="AC172" s="33" t="s">
        <v>64</v>
      </c>
      <c r="AD172" s="45">
        <f>SUMPRODUCT($J$4:$J$32*POWER($F$4:$F$32,2))</f>
        <v>112.995225990452</v>
      </c>
      <c r="AE172" s="33" t="s">
        <v>63</v>
      </c>
      <c r="AF172" s="45">
        <f>SUMPRODUCT($H$4:$H$32,POWER($G$4:$G$32,2))</f>
        <v>0</v>
      </c>
      <c r="AK172" s="31"/>
    </row>
    <row r="173" spans="3:38">
      <c r="C173" s="30" t="s">
        <v>62</v>
      </c>
      <c r="D173" s="39">
        <v>4</v>
      </c>
      <c r="E173" s="43">
        <f>(AF177-($F$7-AD175)*AF183+($G$7-AF174)*AF182)*$H$7</f>
        <v>0</v>
      </c>
      <c r="F173" s="43">
        <f>(AF178+($E$7-AB175)*AF183-($G$7-AF175)*AF181)*$I$7</f>
        <v>0</v>
      </c>
      <c r="G173" s="43">
        <f>(AF179-($E$7-AB174)*AF182+($F$7-AD174)*AF181)*$J$7</f>
        <v>-1089.9475471698115</v>
      </c>
      <c r="H173" s="42"/>
      <c r="I173" s="27">
        <f t="shared" si="12"/>
        <v>0</v>
      </c>
      <c r="J173" s="27">
        <f t="shared" si="13"/>
        <v>1089.9475471698115</v>
      </c>
      <c r="K173" s="27">
        <f t="shared" si="14"/>
        <v>1089.9475471698115</v>
      </c>
      <c r="M173" s="34">
        <v>4</v>
      </c>
      <c r="N173" s="34"/>
      <c r="O173" s="34"/>
      <c r="P173" s="34"/>
      <c r="Q173" s="34"/>
      <c r="R173" s="34"/>
      <c r="S173" s="34"/>
      <c r="T173" s="31"/>
      <c r="U173" s="34"/>
      <c r="V173" s="34"/>
      <c r="W173" s="34"/>
      <c r="X173" s="33"/>
      <c r="Y173" s="34" t="s">
        <v>61</v>
      </c>
      <c r="Z173" s="34">
        <v>1</v>
      </c>
      <c r="AA173" s="33" t="s">
        <v>60</v>
      </c>
      <c r="AB173" s="45">
        <f>SUMPRODUCT($I$4:$I$32,POWER($E$4:$E$32,2))</f>
        <v>313.48502697005398</v>
      </c>
      <c r="AC173" s="33" t="s">
        <v>59</v>
      </c>
      <c r="AD173" s="45">
        <f>SUMPRODUCT($H$4:$H$32,POWER($F$4:$F$32,2))</f>
        <v>112.995225990452</v>
      </c>
      <c r="AE173" s="33" t="s">
        <v>58</v>
      </c>
      <c r="AF173" s="45">
        <f>SUMPRODUCT($I$4:$I$32,POWER($G$4:$G$32,2))</f>
        <v>0</v>
      </c>
      <c r="AK173" s="31"/>
    </row>
    <row r="174" spans="3:38">
      <c r="C174" s="30" t="s">
        <v>57</v>
      </c>
      <c r="D174" s="39">
        <v>5</v>
      </c>
      <c r="E174" s="43">
        <f>(AF177-($F$8-AD175)*AF183+($G$8-AF174)*AF182)*$H$8</f>
        <v>0</v>
      </c>
      <c r="F174" s="43">
        <f>(AF178+($E$8-AB175)*AF183-($G$8-AF175)*AF181)*$I$8</f>
        <v>0</v>
      </c>
      <c r="G174" s="43">
        <f>(AF179-($E$8-AB174)*AF182+($F$8-AD174)*AF181)*$J$8</f>
        <v>0</v>
      </c>
      <c r="H174" s="42"/>
      <c r="I174" s="27">
        <f t="shared" si="12"/>
        <v>0</v>
      </c>
      <c r="J174" s="27">
        <f t="shared" si="13"/>
        <v>0</v>
      </c>
      <c r="K174" s="27">
        <f t="shared" si="14"/>
        <v>0</v>
      </c>
      <c r="M174" s="34">
        <v>5</v>
      </c>
      <c r="N174" s="34"/>
      <c r="O174" s="34"/>
      <c r="P174" s="34"/>
      <c r="Q174" s="34"/>
      <c r="R174" s="34"/>
      <c r="S174" s="34"/>
      <c r="T174" s="31"/>
      <c r="U174" s="34"/>
      <c r="V174" s="34"/>
      <c r="W174" s="34"/>
      <c r="X174" s="33"/>
      <c r="Y174" s="34" t="s">
        <v>56</v>
      </c>
      <c r="Z174" s="34">
        <v>0</v>
      </c>
      <c r="AA174" s="33" t="s">
        <v>55</v>
      </c>
      <c r="AB174" s="45">
        <f>IF(Z179=0,0,AB170/Z179)</f>
        <v>6.2598425196850398</v>
      </c>
      <c r="AC174" s="33" t="s">
        <v>54</v>
      </c>
      <c r="AD174" s="45">
        <f>IF(Z179=0,0,AD170/Z179)</f>
        <v>0</v>
      </c>
      <c r="AE174" s="33" t="s">
        <v>53</v>
      </c>
      <c r="AF174" s="45">
        <f>IF(Z177=0,0,AF170/Z177)</f>
        <v>0</v>
      </c>
      <c r="AK174" s="31"/>
    </row>
    <row r="175" spans="3:38">
      <c r="C175" s="30" t="s">
        <v>52</v>
      </c>
      <c r="D175" s="39">
        <v>6</v>
      </c>
      <c r="E175" s="43">
        <f>(AF177-($F$9-AD175)*AF183+($G$9-AF174)*AF182)*$H$9</f>
        <v>0</v>
      </c>
      <c r="F175" s="43">
        <f>(AF178+($E$9-AB175)*AF183-($G$9-AF175)*AF181)*$I$9</f>
        <v>0</v>
      </c>
      <c r="G175" s="43">
        <f>(AF179-($E$9-AB174)*AF182+($F$9-AD174)*AF181)*$J$9</f>
        <v>0</v>
      </c>
      <c r="H175" s="42"/>
      <c r="I175" s="27">
        <f t="shared" si="12"/>
        <v>0</v>
      </c>
      <c r="J175" s="27">
        <f t="shared" si="13"/>
        <v>0</v>
      </c>
      <c r="K175" s="27">
        <f t="shared" si="14"/>
        <v>0</v>
      </c>
      <c r="M175" s="34">
        <v>6</v>
      </c>
      <c r="N175" s="34"/>
      <c r="O175" s="34"/>
      <c r="P175" s="34"/>
      <c r="Q175" s="34"/>
      <c r="R175" s="34"/>
      <c r="S175" s="34"/>
      <c r="T175" s="31"/>
      <c r="U175" s="34"/>
      <c r="V175" s="34"/>
      <c r="W175" s="34"/>
      <c r="X175" s="33"/>
      <c r="Y175" s="34" t="s">
        <v>12</v>
      </c>
      <c r="Z175" s="34"/>
      <c r="AA175" s="33" t="s">
        <v>51</v>
      </c>
      <c r="AB175" s="45">
        <f>IF(Z178=0,0,AB171/Z178)</f>
        <v>6.2598425196850398</v>
      </c>
      <c r="AC175" s="33" t="s">
        <v>50</v>
      </c>
      <c r="AD175" s="45">
        <f>IF(Z177=0,0,AD171/Z177)</f>
        <v>0</v>
      </c>
      <c r="AE175" s="33" t="s">
        <v>49</v>
      </c>
      <c r="AF175" s="45">
        <f>IF(Z178=0,0,AF171/Z178)</f>
        <v>0</v>
      </c>
      <c r="AK175" s="31"/>
    </row>
    <row r="176" spans="3:38">
      <c r="C176" s="30" t="s">
        <v>48</v>
      </c>
      <c r="D176" s="39">
        <v>7</v>
      </c>
      <c r="E176" s="43">
        <f>(AF177-($F$10-AD175)*AF183+($G$10-AF174)*AF182)*$H$10</f>
        <v>0</v>
      </c>
      <c r="F176" s="43">
        <f>(AF178+($E$10-AB175)*AF183-($G$10-AF175)*AF181)*$I$10</f>
        <v>0</v>
      </c>
      <c r="G176" s="43">
        <f>(AF179-($E$10-AB174)*AF182+($F$10-AD174)*AF181)*$J$10</f>
        <v>0</v>
      </c>
      <c r="H176" s="42"/>
      <c r="I176" s="27">
        <f t="shared" si="12"/>
        <v>0</v>
      </c>
      <c r="J176" s="27">
        <f t="shared" si="13"/>
        <v>0</v>
      </c>
      <c r="K176" s="27">
        <f t="shared" si="14"/>
        <v>0</v>
      </c>
      <c r="M176" s="34">
        <v>7</v>
      </c>
      <c r="N176" s="34"/>
      <c r="O176" s="34"/>
      <c r="P176" s="34"/>
      <c r="Q176" s="34"/>
      <c r="R176" s="34"/>
      <c r="S176" s="34"/>
      <c r="T176" s="31"/>
      <c r="U176" s="34"/>
      <c r="V176" s="34"/>
      <c r="W176" s="34"/>
      <c r="X176" s="33"/>
      <c r="Y176" s="34" t="s">
        <v>47</v>
      </c>
      <c r="Z176" s="34"/>
      <c r="AK176" s="31"/>
    </row>
    <row r="177" spans="3:37">
      <c r="C177" s="30" t="s">
        <v>46</v>
      </c>
      <c r="D177" s="39">
        <v>8</v>
      </c>
      <c r="E177" s="43">
        <f>(AF177-($F$11-AD175)*AF183+($G$11-AF174)*AF182)*$H$11</f>
        <v>0</v>
      </c>
      <c r="F177" s="43">
        <f>(AF178+($E$11-AB175)*AF183-($G$11-AF175)*AF181)*$I$11</f>
        <v>0</v>
      </c>
      <c r="G177" s="43">
        <f>(AF179-($E$11-AB174)*AF182+($F$11-AD174)*AF181)*$J$11</f>
        <v>0</v>
      </c>
      <c r="H177" s="42"/>
      <c r="I177" s="27">
        <f t="shared" si="12"/>
        <v>0</v>
      </c>
      <c r="J177" s="27">
        <f t="shared" si="13"/>
        <v>0</v>
      </c>
      <c r="K177" s="27">
        <f t="shared" si="14"/>
        <v>0</v>
      </c>
      <c r="M177" s="34">
        <v>8</v>
      </c>
      <c r="N177" s="34"/>
      <c r="O177" s="34"/>
      <c r="P177" s="34"/>
      <c r="Q177" s="34"/>
      <c r="R177" s="34"/>
      <c r="S177" s="34"/>
      <c r="T177" s="31"/>
      <c r="U177" s="34"/>
      <c r="V177" s="34"/>
      <c r="W177" s="34"/>
      <c r="X177" s="33"/>
      <c r="Y177" s="34" t="s">
        <v>45</v>
      </c>
      <c r="Z177" s="34">
        <f>SUM($H$4:$H$32)</f>
        <v>4</v>
      </c>
      <c r="AA177" s="33" t="s">
        <v>44</v>
      </c>
      <c r="AB177" s="44">
        <f>SUM(Q170:Q194)</f>
        <v>0</v>
      </c>
      <c r="AC177" s="33" t="s">
        <v>43</v>
      </c>
      <c r="AD177" s="33">
        <f>SUM(U170:U194,SUMPRODUCT(S170:S194,(O170:O194-AD174)),-SUMPRODUCT(R170:R194,(P170:P194-AF175)))</f>
        <v>0</v>
      </c>
      <c r="AE177" s="26" t="s">
        <v>42</v>
      </c>
      <c r="AF177" s="26">
        <f>IF(Z177=0,0,AB177/Z177)</f>
        <v>0</v>
      </c>
      <c r="AK177" s="31"/>
    </row>
    <row r="178" spans="3:37">
      <c r="C178" s="30" t="s">
        <v>41</v>
      </c>
      <c r="D178" s="39">
        <v>9</v>
      </c>
      <c r="E178" s="43">
        <f>(AF177-($F$12-AD175)*AF183+($G$12-AF174)*AF182)*$H$12</f>
        <v>0</v>
      </c>
      <c r="F178" s="43">
        <f>(AF178+($E$12-AB175)*AF183-($G$12-AF175)*AF181)*$I$12</f>
        <v>0</v>
      </c>
      <c r="G178" s="43">
        <f>(AF179-($E$12-AB174)*AF182+($F$12-AD174)*AF181)*$J$12</f>
        <v>0</v>
      </c>
      <c r="H178" s="42"/>
      <c r="I178" s="27">
        <f t="shared" si="12"/>
        <v>0</v>
      </c>
      <c r="J178" s="27">
        <f t="shared" si="13"/>
        <v>0</v>
      </c>
      <c r="K178" s="27">
        <f t="shared" si="14"/>
        <v>0</v>
      </c>
      <c r="M178" s="34">
        <v>9</v>
      </c>
      <c r="N178" s="34"/>
      <c r="O178" s="34"/>
      <c r="P178" s="34"/>
      <c r="Q178" s="34"/>
      <c r="R178" s="34"/>
      <c r="S178" s="34"/>
      <c r="T178" s="31"/>
      <c r="U178" s="34"/>
      <c r="V178" s="34"/>
      <c r="W178" s="34"/>
      <c r="X178" s="33"/>
      <c r="Y178" s="34" t="s">
        <v>40</v>
      </c>
      <c r="Z178" s="34">
        <f>SUM($I$4:$I$32)</f>
        <v>4</v>
      </c>
      <c r="AA178" s="33" t="s">
        <v>39</v>
      </c>
      <c r="AB178" s="33">
        <f>SUM(R170:R194)</f>
        <v>0</v>
      </c>
      <c r="AC178" s="33" t="s">
        <v>38</v>
      </c>
      <c r="AD178" s="33">
        <f>SUM(V170:V194,SUMPRODUCT(Q170:Q194,(P170:P194-AF174)),-SUMPRODUCT(S170:S194,(N170:N194-AB174)))</f>
        <v>13054.840157480316</v>
      </c>
      <c r="AE178" s="26" t="s">
        <v>37</v>
      </c>
      <c r="AF178" s="26">
        <f>IF(Z178=0,0,AB178/Z178)</f>
        <v>0</v>
      </c>
      <c r="AK178" s="31"/>
    </row>
    <row r="179" spans="3:37">
      <c r="C179" s="30"/>
      <c r="D179" s="39">
        <v>10</v>
      </c>
      <c r="E179" s="43">
        <f>(AF177-($F$13-AD175)*AF183+($G$13-AF174)*AF182)*$H$13</f>
        <v>0</v>
      </c>
      <c r="F179" s="43">
        <f>(AF178+($E$13-AB175)*AF183-($G$13-AF175)*AF181)*$I$13</f>
        <v>0</v>
      </c>
      <c r="G179" s="43">
        <f>(AF179-($E$13-AB174)*AF182+($F$13-AD174)*AF181)*$J$13</f>
        <v>0</v>
      </c>
      <c r="H179" s="42"/>
      <c r="I179" s="27">
        <f t="shared" si="12"/>
        <v>0</v>
      </c>
      <c r="J179" s="27">
        <f t="shared" si="13"/>
        <v>0</v>
      </c>
      <c r="K179" s="27">
        <f t="shared" si="14"/>
        <v>0</v>
      </c>
      <c r="M179" s="34">
        <v>10</v>
      </c>
      <c r="N179" s="34"/>
      <c r="O179" s="34"/>
      <c r="P179" s="34"/>
      <c r="Q179" s="34"/>
      <c r="R179" s="34"/>
      <c r="S179" s="34"/>
      <c r="T179" s="31"/>
      <c r="U179" s="34"/>
      <c r="V179" s="34"/>
      <c r="W179" s="34"/>
      <c r="X179" s="33"/>
      <c r="Y179" s="34" t="s">
        <v>36</v>
      </c>
      <c r="Z179" s="34">
        <f>SUM($J$4:$J$32)</f>
        <v>4</v>
      </c>
      <c r="AA179" s="33" t="s">
        <v>35</v>
      </c>
      <c r="AB179" s="33">
        <f>SUM(S170:S194)</f>
        <v>-2274.3000000000002</v>
      </c>
      <c r="AC179" s="33" t="s">
        <v>34</v>
      </c>
      <c r="AD179" s="33">
        <f>SUM(W170:W194,SUMPRODUCT(R170:R194,(N170:N194-AB175)),-SUMPRODUCT(Q170:Q194,(O170:O194-AD175)))</f>
        <v>0</v>
      </c>
      <c r="AE179" s="26" t="s">
        <v>33</v>
      </c>
      <c r="AF179" s="26">
        <f>IF(Z179=0,0,AB179/Z179)</f>
        <v>-568.57500000000005</v>
      </c>
      <c r="AK179" s="31"/>
    </row>
    <row r="180" spans="3:37">
      <c r="C180" s="30"/>
      <c r="D180" s="39">
        <v>11</v>
      </c>
      <c r="E180" s="43">
        <f>(AF177-($F$14-AD175)*AF183+($G$14-AF174)*AF182)*$H$14</f>
        <v>0</v>
      </c>
      <c r="F180" s="43">
        <f>(AF178+($E$14-AB175)*AF183-($G$14-AF175)*AF181)*$I$14</f>
        <v>0</v>
      </c>
      <c r="G180" s="43">
        <f>(AF179-($E$14-AB174)*AF182+($F$14-AD174)*AF181)*$J$14</f>
        <v>0</v>
      </c>
      <c r="H180" s="42"/>
      <c r="I180" s="27">
        <f t="shared" si="12"/>
        <v>0</v>
      </c>
      <c r="J180" s="27">
        <f t="shared" si="13"/>
        <v>0</v>
      </c>
      <c r="K180" s="27">
        <f t="shared" si="14"/>
        <v>0</v>
      </c>
      <c r="M180" s="34">
        <v>11</v>
      </c>
      <c r="N180" s="34"/>
      <c r="O180" s="34"/>
      <c r="P180" s="34"/>
      <c r="Q180" s="34"/>
      <c r="R180" s="34"/>
      <c r="S180" s="34"/>
      <c r="T180" s="31"/>
      <c r="U180" s="34"/>
      <c r="V180" s="34"/>
      <c r="W180" s="34"/>
      <c r="X180" s="33"/>
      <c r="AK180" s="31"/>
    </row>
    <row r="181" spans="3:37">
      <c r="C181" s="30"/>
      <c r="D181" s="39">
        <v>12</v>
      </c>
      <c r="E181" s="28">
        <f>(AF177-($F$15-AD175)*AF183+($G$15-AF174)*AF182)*$H$15</f>
        <v>0</v>
      </c>
      <c r="F181" s="28">
        <f>(AF178+($E$15-AB175)*AF183-($G$15-AF175)*AF181)*$I$15</f>
        <v>0</v>
      </c>
      <c r="G181" s="28">
        <f>(AF179-($E$15-AB174)*AF182+($F$15-AD174)*AF181)*$J$15</f>
        <v>0</v>
      </c>
      <c r="I181" s="27">
        <f t="shared" si="12"/>
        <v>0</v>
      </c>
      <c r="J181" s="27">
        <f t="shared" si="13"/>
        <v>0</v>
      </c>
      <c r="K181" s="27">
        <f t="shared" si="14"/>
        <v>0</v>
      </c>
      <c r="M181" s="34">
        <v>12</v>
      </c>
      <c r="N181" s="34"/>
      <c r="O181" s="34"/>
      <c r="P181" s="34"/>
      <c r="Q181" s="34"/>
      <c r="R181" s="34"/>
      <c r="S181" s="34"/>
      <c r="T181" s="31"/>
      <c r="U181" s="34"/>
      <c r="V181" s="34"/>
      <c r="W181" s="34"/>
      <c r="X181" s="33"/>
      <c r="Y181" s="36">
        <v>1</v>
      </c>
      <c r="Z181" s="38">
        <f>AF173+AD172-Z179*AD174^2-Z178*AF175^2</f>
        <v>112.995225990452</v>
      </c>
      <c r="AA181" s="35">
        <v>1</v>
      </c>
      <c r="AB181" s="26">
        <f>Z183*Z182^2-Z182*Z185^2</f>
        <v>6626974.9209806556</v>
      </c>
      <c r="AC181" s="37">
        <v>1</v>
      </c>
      <c r="AD181" s="26">
        <f>Z183*Z182-Z185^2</f>
        <v>42279.371267155962</v>
      </c>
      <c r="AE181" s="40">
        <v>1</v>
      </c>
      <c r="AF181" s="26">
        <f>IF(Z181=0,0,IF(Z182=0,AD177/Z183,IF(Z183=0,AD177/Z182,(AD177*AB181+AD178*AB182+AD179*AB183)/(AD181*AD182-AD183))))</f>
        <v>0</v>
      </c>
      <c r="AK181" s="31"/>
    </row>
    <row r="182" spans="3:37">
      <c r="C182" s="30"/>
      <c r="D182" s="39">
        <v>13</v>
      </c>
      <c r="E182" s="28">
        <f>(AF177-($F$16-AD175)*AF183+($G$16-AF174)*AF182)*$H$16</f>
        <v>0</v>
      </c>
      <c r="F182" s="28">
        <f>(AF178+($E$16-AB175)*AF183-($G$16-AF175)*AF181)*$I$16</f>
        <v>0</v>
      </c>
      <c r="G182" s="28">
        <f>(AF179-($E$16-AB174)*AF182+($F$16-AD174)*AF181)*$J$16</f>
        <v>0</v>
      </c>
      <c r="I182" s="27">
        <f t="shared" si="12"/>
        <v>0</v>
      </c>
      <c r="J182" s="27">
        <f t="shared" si="13"/>
        <v>0</v>
      </c>
      <c r="K182" s="27">
        <f t="shared" si="14"/>
        <v>0</v>
      </c>
      <c r="M182" s="34">
        <v>13</v>
      </c>
      <c r="N182" s="34"/>
      <c r="O182" s="34"/>
      <c r="P182" s="34"/>
      <c r="Q182" s="34"/>
      <c r="R182" s="34"/>
      <c r="S182" s="34"/>
      <c r="T182" s="31"/>
      <c r="U182" s="34"/>
      <c r="V182" s="34"/>
      <c r="W182" s="34"/>
      <c r="X182" s="33"/>
      <c r="Y182" s="36">
        <v>2</v>
      </c>
      <c r="Z182" s="38">
        <f>AF172+AB172-Z179*AB174^2-Z177*AF174^2</f>
        <v>156.74251348502699</v>
      </c>
      <c r="AA182" s="35">
        <v>2</v>
      </c>
      <c r="AB182" s="41">
        <f>Z182*Z183*Z184+Z182*Z185*Z186</f>
        <v>0</v>
      </c>
      <c r="AC182" s="37">
        <v>2</v>
      </c>
      <c r="AD182" s="26">
        <f>Z181*Z182-Z184^2</f>
        <v>17711.155733552096</v>
      </c>
      <c r="AE182" s="40">
        <v>2</v>
      </c>
      <c r="AF182" s="26">
        <f>IF(Z181=0,AD178/Z183,IF(Z182=0,0,IF(Z183=0,AD178/Z181,(AD178*AB184+AD177*AB185+AD179*AB186)/(AD184*AD182-AD186))))</f>
        <v>83.288444642221435</v>
      </c>
      <c r="AK182" s="31"/>
    </row>
    <row r="183" spans="3:37">
      <c r="C183" s="30"/>
      <c r="D183" s="39">
        <v>14</v>
      </c>
      <c r="E183" s="28">
        <f>(AF177-($F$17-AD175)*AF183+($G$17-AF174)*AF182)*$H$17</f>
        <v>0</v>
      </c>
      <c r="F183" s="28">
        <f>(AF178+($E$17-AB175)*AF183-($G$17-AF175)*AF181)*$I$17</f>
        <v>0</v>
      </c>
      <c r="G183" s="28">
        <f>(AF179-($E$17-AB174)*AF182+($F$17-AD174)*AF181)*$J$17</f>
        <v>0</v>
      </c>
      <c r="I183" s="27">
        <f t="shared" si="12"/>
        <v>0</v>
      </c>
      <c r="J183" s="27">
        <f t="shared" si="13"/>
        <v>0</v>
      </c>
      <c r="K183" s="27">
        <f t="shared" si="14"/>
        <v>0</v>
      </c>
      <c r="M183" s="34">
        <v>14</v>
      </c>
      <c r="N183" s="34"/>
      <c r="O183" s="34"/>
      <c r="P183" s="34"/>
      <c r="Q183" s="34"/>
      <c r="R183" s="34"/>
      <c r="S183" s="34"/>
      <c r="T183" s="31"/>
      <c r="U183" s="34"/>
      <c r="V183" s="34"/>
      <c r="W183" s="34"/>
      <c r="X183" s="33"/>
      <c r="Y183" s="36">
        <v>3</v>
      </c>
      <c r="Z183" s="38">
        <f>AD173+AB173-Z178*AB175^2-Z177*AD175^2</f>
        <v>269.73773947547897</v>
      </c>
      <c r="AA183" s="35">
        <v>3</v>
      </c>
      <c r="AB183" s="26">
        <f>Z186*Z182^2+Z182*Z184*Z185</f>
        <v>0</v>
      </c>
      <c r="AC183" s="37">
        <v>3</v>
      </c>
      <c r="AD183" s="26">
        <f>(Z182*Z186+Z184*Z185)^2</f>
        <v>0</v>
      </c>
      <c r="AE183" s="40">
        <v>3</v>
      </c>
      <c r="AF183" s="38">
        <f>IF(Z181=0,AD179/Z182,IF(Z182=0,AD179/Z181,IF(Z183=0,0,(AD179*AB187+AD177*AB188+AD178*AB186)/(AD182*AD184-AD186))))</f>
        <v>0</v>
      </c>
    </row>
    <row r="184" spans="3:37">
      <c r="C184" s="30"/>
      <c r="D184" s="39">
        <v>15</v>
      </c>
      <c r="E184" s="28">
        <f>(AF177-($F$18-AD175)*AF183+($G$18-AF174)*AF182)*$H$18</f>
        <v>0</v>
      </c>
      <c r="F184" s="28">
        <f>(AF178+($E$18-AB175)*AF183-($G$18-AF175)*AF181)*$I$18</f>
        <v>0</v>
      </c>
      <c r="G184" s="28">
        <f>(AF179-($E$18-AB174)*AF182+($F$18-AD174)*AF181)*$J$18</f>
        <v>0</v>
      </c>
      <c r="I184" s="27">
        <f t="shared" si="12"/>
        <v>0</v>
      </c>
      <c r="J184" s="27">
        <f t="shared" si="13"/>
        <v>0</v>
      </c>
      <c r="K184" s="27">
        <f t="shared" si="14"/>
        <v>0</v>
      </c>
      <c r="M184" s="34">
        <v>15</v>
      </c>
      <c r="N184" s="34"/>
      <c r="O184" s="34"/>
      <c r="P184" s="34"/>
      <c r="Q184" s="34"/>
      <c r="R184" s="34"/>
      <c r="S184" s="34"/>
      <c r="T184" s="31"/>
      <c r="U184" s="34"/>
      <c r="V184" s="34"/>
      <c r="W184" s="34"/>
      <c r="X184" s="33"/>
      <c r="Y184" s="36">
        <v>4</v>
      </c>
      <c r="Z184" s="38">
        <f>AB169-AD174*AB174*Z179</f>
        <v>0</v>
      </c>
      <c r="AA184" s="35">
        <v>4</v>
      </c>
      <c r="AB184" s="26">
        <f>Z183*Z181^2-Z181*Z186^2</f>
        <v>3443990.1744071501</v>
      </c>
      <c r="AC184" s="37">
        <v>4</v>
      </c>
      <c r="AD184" s="26">
        <f>Z183*Z181-Z186^2</f>
        <v>30479.076830185411</v>
      </c>
    </row>
    <row r="185" spans="3:37">
      <c r="C185" s="30"/>
      <c r="D185" s="29">
        <v>16</v>
      </c>
      <c r="E185" s="28">
        <f>(AF177-($F$19-AD175)*AF183+($G$19-AF174)*AF182)*$H$19</f>
        <v>0</v>
      </c>
      <c r="F185" s="28">
        <f>(AF178+($E$19-AB175)*AF183-($G$19-AF175)*AF181)*$I$19</f>
        <v>0</v>
      </c>
      <c r="G185" s="28">
        <f>(AF179-($E$19-AB174)*AF182+($F$19-AD174)*AF181)*$J$19</f>
        <v>0</v>
      </c>
      <c r="I185" s="27">
        <f t="shared" si="12"/>
        <v>0</v>
      </c>
      <c r="J185" s="27">
        <f t="shared" si="13"/>
        <v>0</v>
      </c>
      <c r="K185" s="27">
        <f t="shared" si="14"/>
        <v>0</v>
      </c>
      <c r="M185" s="34">
        <v>16</v>
      </c>
      <c r="N185" s="34"/>
      <c r="O185" s="34"/>
      <c r="P185" s="34"/>
      <c r="Q185" s="34"/>
      <c r="R185" s="34"/>
      <c r="S185" s="34"/>
      <c r="T185" s="31"/>
      <c r="U185" s="34"/>
      <c r="V185" s="34"/>
      <c r="W185" s="34"/>
      <c r="X185" s="33"/>
      <c r="Y185" s="36">
        <v>5</v>
      </c>
      <c r="Z185" s="38">
        <f>AD169-AD175*AF174*Z177</f>
        <v>0</v>
      </c>
      <c r="AA185" s="35">
        <v>5</v>
      </c>
      <c r="AB185" s="26">
        <f>Z181*Z183*Z184+Z181*Z185*Z186</f>
        <v>0</v>
      </c>
      <c r="AC185" s="37"/>
    </row>
    <row r="186" spans="3:37">
      <c r="C186" s="30"/>
      <c r="D186" s="29">
        <v>17</v>
      </c>
      <c r="E186" s="28">
        <f>(AF177-($F$20-AD175)*AF183+($G$20-AF174)*AF182)*$H$20</f>
        <v>0</v>
      </c>
      <c r="F186" s="28">
        <f>(AF178+($E$20-AB175)*AF183-($G$20-AF175)*AF181)*$I$20</f>
        <v>0</v>
      </c>
      <c r="G186" s="28">
        <f>(AF179-($E$20-AB174)*AF182+($F$20-AD174)*AF181)*$J$20</f>
        <v>0</v>
      </c>
      <c r="I186" s="27">
        <f t="shared" si="12"/>
        <v>0</v>
      </c>
      <c r="J186" s="27">
        <f t="shared" si="13"/>
        <v>0</v>
      </c>
      <c r="K186" s="27">
        <f t="shared" si="14"/>
        <v>0</v>
      </c>
      <c r="M186" s="34">
        <v>17</v>
      </c>
      <c r="N186" s="34"/>
      <c r="O186" s="34"/>
      <c r="P186" s="34"/>
      <c r="Q186" s="34"/>
      <c r="R186" s="34"/>
      <c r="S186" s="34"/>
      <c r="T186" s="31"/>
      <c r="U186" s="34"/>
      <c r="V186" s="34"/>
      <c r="W186" s="34"/>
      <c r="X186" s="33"/>
      <c r="Y186" s="36">
        <v>6</v>
      </c>
      <c r="Z186" s="38">
        <f>AF169-AB175*AF175*Z178</f>
        <v>0</v>
      </c>
      <c r="AA186" s="35">
        <v>6</v>
      </c>
      <c r="AB186" s="26">
        <f>Z185*Z181^2+Z181*Z184*Z186</f>
        <v>0</v>
      </c>
      <c r="AC186" s="37">
        <v>6</v>
      </c>
      <c r="AD186" s="26">
        <f>(Z181*Z185+Z184*Z186)^2</f>
        <v>0</v>
      </c>
    </row>
    <row r="187" spans="3:37">
      <c r="C187" s="30"/>
      <c r="D187" s="29">
        <v>18</v>
      </c>
      <c r="E187" s="28">
        <f>(AF177-($F$21-AD175)*AF183+($G$21-AF174)*AF182)*$H$21</f>
        <v>0</v>
      </c>
      <c r="F187" s="28">
        <f>(AF178+($E$21-AB175)*AF183-($G$21-AF175)*AF181)*$I$21</f>
        <v>0</v>
      </c>
      <c r="G187" s="28">
        <f>(AF179-($E$21-AB174)*AF182+($F$21-AD174)*AF181)*$J$21</f>
        <v>0</v>
      </c>
      <c r="I187" s="27">
        <f t="shared" si="12"/>
        <v>0</v>
      </c>
      <c r="J187" s="27">
        <f t="shared" si="13"/>
        <v>0</v>
      </c>
      <c r="K187" s="27">
        <f t="shared" si="14"/>
        <v>0</v>
      </c>
      <c r="M187" s="34">
        <v>18</v>
      </c>
      <c r="N187" s="34"/>
      <c r="O187" s="34"/>
      <c r="P187" s="34"/>
      <c r="Q187" s="34"/>
      <c r="R187" s="34"/>
      <c r="S187" s="34"/>
      <c r="T187" s="31"/>
      <c r="U187" s="34"/>
      <c r="V187" s="34"/>
      <c r="W187" s="34"/>
      <c r="X187" s="33"/>
      <c r="Y187" s="36"/>
      <c r="AA187" s="35">
        <v>7</v>
      </c>
      <c r="AB187" s="26">
        <f>Z182*Z181^2-Z181*Z184^2</f>
        <v>2001276.0446648085</v>
      </c>
    </row>
    <row r="188" spans="3:37">
      <c r="C188" s="30"/>
      <c r="D188" s="29">
        <v>19</v>
      </c>
      <c r="E188" s="28">
        <f>(AF177-($F$22-AD175)*AF183+($G$22-AF174)*AF182)*$H$22</f>
        <v>0</v>
      </c>
      <c r="F188" s="28">
        <f>(AF178+($E$22-AB175)*AF183-($G$22-AF175)*AF181)*$I$22</f>
        <v>0</v>
      </c>
      <c r="G188" s="28">
        <f>(AF179-($E$22-AB174)*AF182+($F$22-AD174)*AF181)*$J$22</f>
        <v>0</v>
      </c>
      <c r="I188" s="27">
        <f t="shared" si="12"/>
        <v>0</v>
      </c>
      <c r="J188" s="27">
        <f t="shared" si="13"/>
        <v>0</v>
      </c>
      <c r="K188" s="27">
        <f t="shared" si="14"/>
        <v>0</v>
      </c>
      <c r="M188" s="34">
        <v>19</v>
      </c>
      <c r="N188" s="34"/>
      <c r="O188" s="34"/>
      <c r="P188" s="34"/>
      <c r="Q188" s="34"/>
      <c r="R188" s="34"/>
      <c r="S188" s="34"/>
      <c r="T188" s="31"/>
      <c r="U188" s="34"/>
      <c r="V188" s="34"/>
      <c r="W188" s="34"/>
      <c r="X188" s="33"/>
      <c r="AA188" s="35">
        <v>8</v>
      </c>
      <c r="AB188" s="26">
        <f>Z181*Z182*Z186+Z181*Z185*Z184</f>
        <v>0</v>
      </c>
    </row>
    <row r="189" spans="3:37">
      <c r="C189" s="30"/>
      <c r="D189" s="29">
        <v>20</v>
      </c>
      <c r="E189" s="28">
        <f>(AF177-($F$23-AD175)*AF183+($G$23-AF174)*AF182)*$H$23</f>
        <v>0</v>
      </c>
      <c r="F189" s="28">
        <f>(AF178+($E$23-AB175)*AF183-($G$23-AF175)*AF181)*$I$23</f>
        <v>0</v>
      </c>
      <c r="G189" s="28">
        <f>(AF179-($E$23-AB174)*AF182+($F$23-AD174)*AF181)*$J$23</f>
        <v>0</v>
      </c>
      <c r="I189" s="27">
        <f t="shared" si="12"/>
        <v>0</v>
      </c>
      <c r="J189" s="27">
        <f t="shared" si="13"/>
        <v>0</v>
      </c>
      <c r="K189" s="27">
        <f t="shared" si="14"/>
        <v>0</v>
      </c>
      <c r="M189" s="34">
        <v>20</v>
      </c>
      <c r="N189" s="34"/>
      <c r="O189" s="34"/>
      <c r="P189" s="34"/>
      <c r="Q189" s="34"/>
      <c r="R189" s="34"/>
      <c r="S189" s="34"/>
      <c r="T189" s="31"/>
      <c r="U189" s="34"/>
      <c r="V189" s="34"/>
      <c r="W189" s="34"/>
      <c r="X189" s="33"/>
      <c r="Y189" s="33"/>
      <c r="Z189" s="33"/>
      <c r="AA189" s="33"/>
      <c r="AB189" s="33"/>
      <c r="AC189" s="33"/>
      <c r="AD189" s="33"/>
    </row>
    <row r="190" spans="3:37">
      <c r="C190" s="30"/>
      <c r="D190" s="29">
        <v>21</v>
      </c>
      <c r="E190" s="28">
        <f>(AF177-($F$24-AD175)*AF183+($G$24-AF174)*AF182)*$H$24</f>
        <v>0</v>
      </c>
      <c r="F190" s="28">
        <f>(AF178+($E$24-AB175)*AF183-($G$24-AF175)*AF181)*$I$24</f>
        <v>0</v>
      </c>
      <c r="G190" s="28">
        <f>(AF179-($E$24-AB174)*AF182+($F$24-AD174)*AF181)*$J$24</f>
        <v>0</v>
      </c>
      <c r="I190" s="27">
        <f t="shared" si="12"/>
        <v>0</v>
      </c>
      <c r="J190" s="27">
        <f t="shared" si="13"/>
        <v>0</v>
      </c>
      <c r="K190" s="27">
        <f t="shared" si="14"/>
        <v>0</v>
      </c>
      <c r="M190" s="34">
        <v>21</v>
      </c>
      <c r="N190" s="34"/>
      <c r="O190" s="34"/>
      <c r="P190" s="34"/>
      <c r="Q190" s="34"/>
      <c r="R190" s="34"/>
      <c r="S190" s="34"/>
      <c r="T190" s="31"/>
      <c r="U190" s="34"/>
      <c r="V190" s="34"/>
      <c r="W190" s="34"/>
      <c r="X190" s="33"/>
      <c r="Y190" s="33"/>
      <c r="Z190" s="33"/>
      <c r="AA190" s="33"/>
      <c r="AB190" s="33"/>
      <c r="AC190" s="33"/>
      <c r="AD190" s="33"/>
    </row>
    <row r="191" spans="3:37">
      <c r="C191" s="30"/>
      <c r="D191" s="29">
        <v>22</v>
      </c>
      <c r="E191" s="28">
        <f>(AF177-($F$25-AD175)*AF183+($G$25-AF174)*AF182)*$H$25</f>
        <v>0</v>
      </c>
      <c r="F191" s="28">
        <f>(AF178+($E$25-AB175)*AF183-($G$25-AF175)*AF181)*$I$25</f>
        <v>0</v>
      </c>
      <c r="G191" s="28">
        <f>(AF179-($E$25-AB174)*AF182+($F$25-AD174)*AF181)*$J$25</f>
        <v>0</v>
      </c>
      <c r="I191" s="27">
        <f t="shared" si="12"/>
        <v>0</v>
      </c>
      <c r="J191" s="27">
        <f t="shared" si="13"/>
        <v>0</v>
      </c>
      <c r="K191" s="27">
        <f t="shared" si="14"/>
        <v>0</v>
      </c>
      <c r="M191" s="34">
        <v>22</v>
      </c>
      <c r="N191" s="34"/>
      <c r="O191" s="34"/>
      <c r="P191" s="34"/>
      <c r="Q191" s="34"/>
      <c r="R191" s="34"/>
      <c r="S191" s="34"/>
      <c r="T191" s="31"/>
      <c r="U191" s="34"/>
      <c r="V191" s="34"/>
      <c r="W191" s="34"/>
      <c r="X191" s="33"/>
      <c r="Y191" s="33"/>
      <c r="Z191" s="33"/>
      <c r="AA191" s="33"/>
      <c r="AB191" s="33"/>
      <c r="AC191" s="33"/>
      <c r="AD191" s="33"/>
    </row>
    <row r="192" spans="3:37">
      <c r="C192" s="30"/>
      <c r="D192" s="29">
        <v>23</v>
      </c>
      <c r="E192" s="28">
        <f>(AF177-($F$26-AD175)*AF183+($G$26-AF174)*AF182)*$H$26</f>
        <v>0</v>
      </c>
      <c r="F192" s="28">
        <f>(AF178+($E$26-AB175)*AF183-($G$26-AF175)*AF181)*$I$26</f>
        <v>0</v>
      </c>
      <c r="G192" s="28">
        <f>(AF179-($E$26-AB174)*AF182+($F$26-AD174)*AF181)*$J$26</f>
        <v>0</v>
      </c>
      <c r="I192" s="27">
        <f t="shared" si="12"/>
        <v>0</v>
      </c>
      <c r="J192" s="27">
        <f t="shared" si="13"/>
        <v>0</v>
      </c>
      <c r="K192" s="27">
        <f t="shared" si="14"/>
        <v>0</v>
      </c>
      <c r="M192" s="34">
        <v>23</v>
      </c>
      <c r="N192" s="34"/>
      <c r="O192" s="34"/>
      <c r="P192" s="34"/>
      <c r="Q192" s="34"/>
      <c r="R192" s="34"/>
      <c r="S192" s="34"/>
      <c r="T192" s="31"/>
      <c r="U192" s="34"/>
      <c r="V192" s="34"/>
      <c r="W192" s="34"/>
      <c r="X192" s="33"/>
      <c r="Y192" s="33"/>
      <c r="Z192" s="33"/>
      <c r="AA192" s="33"/>
      <c r="AB192" s="33"/>
      <c r="AC192" s="33"/>
      <c r="AD192" s="33"/>
    </row>
    <row r="193" spans="3:47">
      <c r="C193" s="30"/>
      <c r="D193" s="29">
        <v>24</v>
      </c>
      <c r="E193" s="28">
        <f>(AF177-($F$27-AD175)*AF183+($G$27-AF174)*AF182)*$H$27</f>
        <v>0</v>
      </c>
      <c r="F193" s="28">
        <f>(AF178+($E$27-AB175)*AF183-($G$27-AF175)*AF181)*$I$27</f>
        <v>0</v>
      </c>
      <c r="G193" s="28">
        <f>(AF179-($E$27-AB174)*AF182+($F$27-AD174)*AF181)*$J$27</f>
        <v>0</v>
      </c>
      <c r="I193" s="27">
        <f t="shared" si="12"/>
        <v>0</v>
      </c>
      <c r="J193" s="27">
        <f t="shared" si="13"/>
        <v>0</v>
      </c>
      <c r="K193" s="27">
        <f t="shared" si="14"/>
        <v>0</v>
      </c>
      <c r="L193" s="31"/>
      <c r="M193" s="34">
        <v>24</v>
      </c>
      <c r="N193" s="34"/>
      <c r="O193" s="34"/>
      <c r="P193" s="34"/>
      <c r="Q193" s="34"/>
      <c r="R193" s="34"/>
      <c r="S193" s="34"/>
      <c r="T193" s="31"/>
      <c r="U193" s="34"/>
      <c r="V193" s="34"/>
      <c r="W193" s="34"/>
      <c r="X193" s="33"/>
      <c r="Y193" s="33"/>
      <c r="Z193" s="33"/>
      <c r="AA193" s="33"/>
      <c r="AB193" s="33"/>
      <c r="AC193" s="33"/>
      <c r="AD193" s="33"/>
      <c r="AF193" s="31"/>
      <c r="AG193" s="31"/>
      <c r="AH193" s="31"/>
      <c r="AI193" s="31"/>
      <c r="AJ193" s="31"/>
      <c r="AM193" s="31"/>
      <c r="AN193" s="31"/>
      <c r="AO193" s="31"/>
      <c r="AP193" s="31"/>
      <c r="AQ193" s="31"/>
      <c r="AR193" s="31"/>
      <c r="AS193" s="31"/>
      <c r="AT193" s="31"/>
      <c r="AU193" s="31"/>
    </row>
    <row r="194" spans="3:47">
      <c r="C194" s="30"/>
      <c r="D194" s="29">
        <v>25</v>
      </c>
      <c r="E194" s="28">
        <f>(AF177-($F$28-AD175)*AF183+($G$28-AF174)*AF182)*$H$28</f>
        <v>0</v>
      </c>
      <c r="F194" s="28">
        <f>(AF178+($E$28-AB175)*AF183-($G$28-AF175)*AF181)*$I$28</f>
        <v>0</v>
      </c>
      <c r="G194" s="28">
        <f>(AF179-($E$28-AB174)*AF182+($F$28-AD174)*AF181)*$J$28</f>
        <v>0</v>
      </c>
      <c r="I194" s="27">
        <f t="shared" si="12"/>
        <v>0</v>
      </c>
      <c r="J194" s="27">
        <f t="shared" si="13"/>
        <v>0</v>
      </c>
      <c r="K194" s="27">
        <f t="shared" si="14"/>
        <v>0</v>
      </c>
      <c r="M194" s="34">
        <v>25</v>
      </c>
      <c r="N194" s="34"/>
      <c r="O194" s="34"/>
      <c r="P194" s="34"/>
      <c r="Q194" s="34"/>
      <c r="R194" s="34"/>
      <c r="S194" s="34"/>
      <c r="T194" s="31"/>
      <c r="U194" s="34"/>
      <c r="V194" s="34"/>
      <c r="W194" s="34"/>
      <c r="X194" s="33"/>
      <c r="Y194" s="33"/>
      <c r="Z194" s="33"/>
      <c r="AA194" s="33"/>
      <c r="AB194" s="33"/>
      <c r="AC194" s="33"/>
      <c r="AD194" s="33"/>
    </row>
    <row r="195" spans="3:47">
      <c r="C195" s="30"/>
      <c r="D195" s="29">
        <v>26</v>
      </c>
      <c r="E195" s="28">
        <f>(AF177-($F$29-AD175)*AF183+($G$29-AF174)*AF182)*$H$29</f>
        <v>0</v>
      </c>
      <c r="F195" s="28">
        <f>(AF178+($E$29-AB175)*AF183-($G$29-AF175)*AF181)*$I$29</f>
        <v>0</v>
      </c>
      <c r="G195" s="28">
        <f>(AF179-($E$29-AB174)*AF182+($F$29-AD174)*AF181)*$J$29</f>
        <v>0</v>
      </c>
      <c r="I195" s="27">
        <f t="shared" si="12"/>
        <v>0</v>
      </c>
      <c r="J195" s="27">
        <f t="shared" si="13"/>
        <v>0</v>
      </c>
      <c r="K195" s="27">
        <f t="shared" si="14"/>
        <v>0</v>
      </c>
      <c r="M195" s="33"/>
      <c r="N195" s="33"/>
      <c r="O195" s="33"/>
      <c r="P195" s="33"/>
      <c r="Q195" s="33"/>
      <c r="R195" s="33"/>
      <c r="S195" s="33"/>
      <c r="U195" s="33"/>
      <c r="V195" s="33"/>
      <c r="W195" s="33"/>
      <c r="X195" s="33"/>
      <c r="Y195" s="33"/>
      <c r="Z195" s="33"/>
      <c r="AA195" s="33"/>
      <c r="AB195" s="33"/>
      <c r="AC195" s="33"/>
      <c r="AD195" s="33"/>
      <c r="AK195" s="31"/>
      <c r="AL195" s="31"/>
    </row>
    <row r="196" spans="3:47">
      <c r="C196" s="30"/>
      <c r="D196" s="29">
        <v>27</v>
      </c>
      <c r="E196" s="28">
        <f>(AF177-($F$30-AD175)*AF183+($G$30-AF174)*AF182)*$H$30</f>
        <v>0</v>
      </c>
      <c r="F196" s="28">
        <f>(AF178+($E$30-AB175)*AF183-($G$30-AF175)*AF181)*$I$30</f>
        <v>0</v>
      </c>
      <c r="G196" s="28">
        <f>(AF179-($E$30-AB174)*AF182+($F$30-AD174)*AF181)*$J$30</f>
        <v>0</v>
      </c>
      <c r="I196" s="27">
        <f t="shared" si="12"/>
        <v>0</v>
      </c>
      <c r="J196" s="27">
        <f t="shared" si="13"/>
        <v>0</v>
      </c>
      <c r="K196" s="27">
        <f t="shared" si="14"/>
        <v>0</v>
      </c>
      <c r="M196" s="31"/>
      <c r="N196" s="32"/>
      <c r="O196" s="32"/>
      <c r="P196" s="32"/>
      <c r="Q196" s="31"/>
      <c r="R196" s="31"/>
      <c r="S196" s="31"/>
      <c r="T196" s="31"/>
      <c r="U196" s="31"/>
      <c r="V196" s="31"/>
      <c r="W196" s="31"/>
      <c r="X196" s="31"/>
      <c r="Y196" s="31"/>
      <c r="Z196" s="31"/>
      <c r="AA196" s="31"/>
      <c r="AB196" s="31"/>
      <c r="AC196" s="31"/>
      <c r="AD196" s="31"/>
      <c r="AE196" s="31"/>
    </row>
    <row r="197" spans="3:47">
      <c r="C197" s="30"/>
      <c r="D197" s="29">
        <v>28</v>
      </c>
      <c r="E197" s="28">
        <f>(AF177-($F$31-AD175)*AF183+($G$31-AF174)*AF182)*$H$31</f>
        <v>0</v>
      </c>
      <c r="F197" s="28">
        <f>(AF178+($E$31-AB175)*AF183-($G$31-AF175)*AF181)*$I$31</f>
        <v>0</v>
      </c>
      <c r="G197" s="28">
        <f>(AF179-($E$31-AB174)*AF182+($F$31-AD174)*AF181)*$J$31</f>
        <v>0</v>
      </c>
      <c r="I197" s="27">
        <f t="shared" si="12"/>
        <v>0</v>
      </c>
      <c r="J197" s="27">
        <f t="shared" si="13"/>
        <v>0</v>
      </c>
      <c r="K197" s="27">
        <f t="shared" si="14"/>
        <v>0</v>
      </c>
    </row>
    <row r="198" spans="3:47">
      <c r="C198" s="30"/>
      <c r="D198" s="29">
        <v>29</v>
      </c>
      <c r="E198" s="28">
        <f>(AF177-($F$32-AD175)*AF183+($G$32-AF174)*AF182)*$H$32</f>
        <v>0</v>
      </c>
      <c r="F198" s="28">
        <f>(AF178+($E$32-AB175)*AF183-($G$32-AF175)*AF181)*$I$32</f>
        <v>0</v>
      </c>
      <c r="G198" s="28">
        <f>(AF179-($E$32-AB174)*AF182+($F$32-AD174)*AF181)*$J$32</f>
        <v>0</v>
      </c>
      <c r="I198" s="27">
        <f t="shared" si="12"/>
        <v>0</v>
      </c>
      <c r="J198" s="27">
        <f t="shared" si="13"/>
        <v>0</v>
      </c>
      <c r="K198" s="27">
        <f t="shared" si="14"/>
        <v>0</v>
      </c>
    </row>
    <row r="200" spans="3:47" ht="15.6">
      <c r="C200" s="52" t="str">
        <f>PURPOSE!C37</f>
        <v>(Not Used)</v>
      </c>
      <c r="D200" s="51"/>
      <c r="E200" s="51"/>
      <c r="F200" s="51"/>
    </row>
    <row r="201" spans="3:47">
      <c r="AK201" s="31"/>
      <c r="AL201" s="45"/>
    </row>
    <row r="202" spans="3:47" ht="33.6">
      <c r="C202" s="49" t="s">
        <v>98</v>
      </c>
      <c r="D202" s="49" t="s">
        <v>97</v>
      </c>
      <c r="E202" s="49" t="s">
        <v>96</v>
      </c>
      <c r="F202" s="49" t="s">
        <v>95</v>
      </c>
      <c r="G202" s="49" t="s">
        <v>94</v>
      </c>
      <c r="H202" s="50"/>
      <c r="I202" s="49" t="s">
        <v>93</v>
      </c>
      <c r="J202" s="49" t="s">
        <v>92</v>
      </c>
      <c r="K202" s="49" t="s">
        <v>91</v>
      </c>
      <c r="M202" s="49" t="s">
        <v>13</v>
      </c>
      <c r="N202" s="49" t="s">
        <v>90</v>
      </c>
      <c r="O202" s="49" t="s">
        <v>89</v>
      </c>
      <c r="P202" s="49" t="s">
        <v>88</v>
      </c>
      <c r="Q202" s="49" t="s">
        <v>87</v>
      </c>
      <c r="R202" s="49" t="s">
        <v>86</v>
      </c>
      <c r="S202" s="49" t="s">
        <v>85</v>
      </c>
      <c r="T202" s="31"/>
      <c r="U202" s="49" t="s">
        <v>84</v>
      </c>
      <c r="V202" s="49" t="s">
        <v>83</v>
      </c>
      <c r="W202" s="49" t="s">
        <v>82</v>
      </c>
      <c r="X202" s="33"/>
      <c r="Y202" s="34" t="s">
        <v>81</v>
      </c>
      <c r="Z202" s="34">
        <v>1</v>
      </c>
      <c r="AA202" s="33" t="s">
        <v>80</v>
      </c>
      <c r="AB202" s="45">
        <f>SUMPRODUCT($J$4:$J$32,$E$4:$E$32,$F$4:$F$32)</f>
        <v>0</v>
      </c>
      <c r="AC202" s="33" t="s">
        <v>79</v>
      </c>
      <c r="AD202" s="45">
        <f>SUMPRODUCT(H169:H197,F169:F197,G169:G197)</f>
        <v>0</v>
      </c>
      <c r="AE202" s="33" t="s">
        <v>78</v>
      </c>
      <c r="AF202" s="45">
        <f>SUMPRODUCT($I$4:$I$32,$E$4:$E$32,$G$4:$G$32)</f>
        <v>0</v>
      </c>
      <c r="AK202" s="31"/>
    </row>
    <row r="203" spans="3:47">
      <c r="C203" s="30" t="s">
        <v>77</v>
      </c>
      <c r="D203" s="39">
        <v>1</v>
      </c>
      <c r="E203" s="43">
        <f>(AF210-($F$4-AD208)*AF216+($G$4-AF207)*AF215)*$H$4</f>
        <v>0</v>
      </c>
      <c r="F203" s="43">
        <f>(AF211+($E$4-AB208)*AF216-($G$4-AF208)*AF214)*$I$4</f>
        <v>0</v>
      </c>
      <c r="G203" s="43">
        <f>(AF212-($E$4-AB207)*AF215+($F$4-AD207)*AF214)*$J$4</f>
        <v>0</v>
      </c>
      <c r="H203" s="42"/>
      <c r="I203" s="27">
        <f t="shared" ref="I203:I231" si="15">SQRT(E203^2+F203^2)</f>
        <v>0</v>
      </c>
      <c r="J203" s="27">
        <f t="shared" ref="J203:J231" si="16">SQRT(E203^2+G203^2)</f>
        <v>0</v>
      </c>
      <c r="K203" s="27">
        <f t="shared" ref="K203:K231" si="17">SQRT(F203^2+G203^2)</f>
        <v>0</v>
      </c>
      <c r="M203" s="34">
        <v>1</v>
      </c>
      <c r="N203" s="47">
        <f>N38</f>
        <v>12</v>
      </c>
      <c r="O203" s="47">
        <f>PURPOSE!E25</f>
        <v>0</v>
      </c>
      <c r="P203" s="47">
        <f>P170</f>
        <v>30</v>
      </c>
      <c r="Q203" s="48">
        <f>PURPOSE!E51</f>
        <v>0</v>
      </c>
      <c r="R203" s="48">
        <f>PURPOSE!F51</f>
        <v>0</v>
      </c>
      <c r="S203" s="48">
        <f>PURPOSE!G51</f>
        <v>0</v>
      </c>
      <c r="T203" s="31"/>
      <c r="U203" s="34"/>
      <c r="V203" s="34"/>
      <c r="W203" s="34"/>
      <c r="X203" s="33"/>
      <c r="Y203" s="34" t="s">
        <v>76</v>
      </c>
      <c r="Z203" s="34">
        <v>1</v>
      </c>
      <c r="AA203" s="33" t="s">
        <v>75</v>
      </c>
      <c r="AB203" s="45">
        <f>SUMPRODUCT($J$4:$J$32,$E$4:$E$32)</f>
        <v>25.039370078740159</v>
      </c>
      <c r="AC203" s="33" t="s">
        <v>74</v>
      </c>
      <c r="AD203" s="45">
        <f>SUMPRODUCT($J$4:$J$32,$F$4:$F$32)</f>
        <v>0</v>
      </c>
      <c r="AE203" s="33" t="s">
        <v>73</v>
      </c>
      <c r="AF203" s="45">
        <f>SUMPRODUCT($H$4:$H$32,$G$4:$G$32)</f>
        <v>0</v>
      </c>
      <c r="AK203" s="31"/>
    </row>
    <row r="204" spans="3:47">
      <c r="C204" s="30" t="s">
        <v>72</v>
      </c>
      <c r="D204" s="39">
        <v>2</v>
      </c>
      <c r="E204" s="43">
        <f>(AF210-($F$5-AD208)*AF216+($G$5-AF207)*AF215)*$H$5</f>
        <v>0</v>
      </c>
      <c r="F204" s="43">
        <f>(AF211+($E$5-AB208)*AF216-($G$5-AF208)*AF214)*$I$5</f>
        <v>0</v>
      </c>
      <c r="G204" s="43">
        <f>(AF212-($E$5-AB207)*AF215+($F$5-AD207)*AF214)*$J$5</f>
        <v>0</v>
      </c>
      <c r="H204" s="42"/>
      <c r="I204" s="27">
        <f t="shared" si="15"/>
        <v>0</v>
      </c>
      <c r="J204" s="27">
        <f t="shared" si="16"/>
        <v>0</v>
      </c>
      <c r="K204" s="27">
        <f t="shared" si="17"/>
        <v>0</v>
      </c>
      <c r="M204" s="34">
        <v>2</v>
      </c>
      <c r="N204" s="47"/>
      <c r="O204" s="47"/>
      <c r="P204" s="47"/>
      <c r="Q204" s="47"/>
      <c r="R204" s="46"/>
      <c r="S204" s="46"/>
      <c r="T204" s="31"/>
      <c r="U204" s="34"/>
      <c r="V204" s="34"/>
      <c r="W204" s="34"/>
      <c r="X204" s="33"/>
      <c r="Y204" s="34" t="s">
        <v>71</v>
      </c>
      <c r="Z204" s="34">
        <v>0</v>
      </c>
      <c r="AA204" s="33" t="s">
        <v>70</v>
      </c>
      <c r="AB204" s="45">
        <f>SUMPRODUCT($I$4:$I$32,$E$4:$E$32)</f>
        <v>25.039370078740159</v>
      </c>
      <c r="AC204" s="33" t="s">
        <v>69</v>
      </c>
      <c r="AD204" s="45">
        <f>SUMPRODUCT($H$4:$H$32,$F$4:$F$32)</f>
        <v>0</v>
      </c>
      <c r="AE204" s="33" t="s">
        <v>68</v>
      </c>
      <c r="AF204" s="45">
        <f>SUMPRODUCT($I$4:$I$32,$G$4:$G$32)</f>
        <v>0</v>
      </c>
      <c r="AK204" s="31"/>
    </row>
    <row r="205" spans="3:47">
      <c r="C205" s="30" t="s">
        <v>67</v>
      </c>
      <c r="D205" s="39">
        <v>3</v>
      </c>
      <c r="E205" s="43">
        <f>(AF210-($F$6-AD208)*AF216+($G$6-AF207)*AF215)*$H$6</f>
        <v>0</v>
      </c>
      <c r="F205" s="43">
        <f>(AF211+($E$6-AB208)*AF216-($G$6-AF208)*AF214)*$I$6</f>
        <v>0</v>
      </c>
      <c r="G205" s="43">
        <f>(AF212-($E$6-AB207)*AF215+($F$6-AD207)*AF214)*$J$6</f>
        <v>0</v>
      </c>
      <c r="H205" s="42"/>
      <c r="I205" s="27">
        <f t="shared" si="15"/>
        <v>0</v>
      </c>
      <c r="J205" s="27">
        <f t="shared" si="16"/>
        <v>0</v>
      </c>
      <c r="K205" s="27">
        <f t="shared" si="17"/>
        <v>0</v>
      </c>
      <c r="M205" s="34">
        <v>3</v>
      </c>
      <c r="N205" s="34"/>
      <c r="O205" s="34"/>
      <c r="P205" s="34"/>
      <c r="Q205" s="34"/>
      <c r="R205" s="34"/>
      <c r="S205" s="34"/>
      <c r="T205" s="31"/>
      <c r="U205" s="34"/>
      <c r="V205" s="34"/>
      <c r="W205" s="34"/>
      <c r="X205" s="33"/>
      <c r="Y205" s="34" t="s">
        <v>66</v>
      </c>
      <c r="Z205" s="34">
        <v>1</v>
      </c>
      <c r="AA205" s="33" t="s">
        <v>65</v>
      </c>
      <c r="AB205" s="45">
        <f>SUMPRODUCT($J$4:$J$32,POWER($E$4:$E$32,2))</f>
        <v>313.48502697005398</v>
      </c>
      <c r="AC205" s="33" t="s">
        <v>64</v>
      </c>
      <c r="AD205" s="45">
        <f>SUMPRODUCT($J$4:$J$32*POWER($F$4:$F$32,2))</f>
        <v>112.995225990452</v>
      </c>
      <c r="AE205" s="33" t="s">
        <v>63</v>
      </c>
      <c r="AF205" s="45">
        <f>SUMPRODUCT($H$4:$H$32,POWER($G$4:$G$32,2))</f>
        <v>0</v>
      </c>
      <c r="AK205" s="31"/>
    </row>
    <row r="206" spans="3:47">
      <c r="C206" s="30" t="s">
        <v>62</v>
      </c>
      <c r="D206" s="39">
        <v>4</v>
      </c>
      <c r="E206" s="43">
        <f>(AF210-($F$7-AD208)*AF216+($G$7-AF207)*AF215)*$H$7</f>
        <v>0</v>
      </c>
      <c r="F206" s="43">
        <f>(AF211+($E$7-AB208)*AF216-($G$7-AF208)*AF214)*$I$7</f>
        <v>0</v>
      </c>
      <c r="G206" s="43">
        <f>(AF212-($E$7-AB207)*AF215+($F$7-AD207)*AF214)*$J$7</f>
        <v>0</v>
      </c>
      <c r="H206" s="42"/>
      <c r="I206" s="27">
        <f t="shared" si="15"/>
        <v>0</v>
      </c>
      <c r="J206" s="27">
        <f t="shared" si="16"/>
        <v>0</v>
      </c>
      <c r="K206" s="27">
        <f t="shared" si="17"/>
        <v>0</v>
      </c>
      <c r="M206" s="34">
        <v>4</v>
      </c>
      <c r="N206" s="34"/>
      <c r="O206" s="34"/>
      <c r="P206" s="34"/>
      <c r="Q206" s="34"/>
      <c r="R206" s="34"/>
      <c r="S206" s="34"/>
      <c r="T206" s="31"/>
      <c r="U206" s="34"/>
      <c r="V206" s="34"/>
      <c r="W206" s="34"/>
      <c r="X206" s="33"/>
      <c r="Y206" s="34" t="s">
        <v>61</v>
      </c>
      <c r="Z206" s="34">
        <v>1</v>
      </c>
      <c r="AA206" s="33" t="s">
        <v>60</v>
      </c>
      <c r="AB206" s="45">
        <f>SUMPRODUCT($I$4:$I$32,POWER($E$4:$E$32,2))</f>
        <v>313.48502697005398</v>
      </c>
      <c r="AC206" s="33" t="s">
        <v>59</v>
      </c>
      <c r="AD206" s="45">
        <f>SUMPRODUCT($H$4:$H$32,POWER($F$4:$F$32,2))</f>
        <v>112.995225990452</v>
      </c>
      <c r="AE206" s="33" t="s">
        <v>58</v>
      </c>
      <c r="AF206" s="45">
        <f>SUMPRODUCT($I$4:$I$32,POWER($G$4:$G$32,2))</f>
        <v>0</v>
      </c>
      <c r="AK206" s="31"/>
    </row>
    <row r="207" spans="3:47">
      <c r="C207" s="30" t="s">
        <v>57</v>
      </c>
      <c r="D207" s="39">
        <v>5</v>
      </c>
      <c r="E207" s="43">
        <f>(AF210-($F$8-AD208)*AF216+($G$8-AF207)*AF215)*$H$8</f>
        <v>0</v>
      </c>
      <c r="F207" s="43">
        <f>(AF211+($E$8-AB208)*AF216-($G$8-AF208)*AF214)*$I$8</f>
        <v>0</v>
      </c>
      <c r="G207" s="43">
        <f>(AF212-($E$8-AB207)*AF215+($F$8-AD207)*AF214)*$J$8</f>
        <v>0</v>
      </c>
      <c r="H207" s="42"/>
      <c r="I207" s="27">
        <f t="shared" si="15"/>
        <v>0</v>
      </c>
      <c r="J207" s="27">
        <f t="shared" si="16"/>
        <v>0</v>
      </c>
      <c r="K207" s="27">
        <f t="shared" si="17"/>
        <v>0</v>
      </c>
      <c r="M207" s="34">
        <v>5</v>
      </c>
      <c r="N207" s="34"/>
      <c r="O207" s="34"/>
      <c r="P207" s="34"/>
      <c r="Q207" s="34"/>
      <c r="R207" s="34"/>
      <c r="S207" s="34"/>
      <c r="T207" s="31"/>
      <c r="U207" s="34"/>
      <c r="V207" s="34"/>
      <c r="W207" s="34"/>
      <c r="X207" s="33"/>
      <c r="Y207" s="34" t="s">
        <v>56</v>
      </c>
      <c r="Z207" s="34">
        <v>0</v>
      </c>
      <c r="AA207" s="33" t="s">
        <v>55</v>
      </c>
      <c r="AB207" s="45">
        <f>IF(Z212=0,0,AB203/Z212)</f>
        <v>6.2598425196850398</v>
      </c>
      <c r="AC207" s="33" t="s">
        <v>54</v>
      </c>
      <c r="AD207" s="45">
        <f>IF(Z212=0,0,AD203/Z212)</f>
        <v>0</v>
      </c>
      <c r="AE207" s="33" t="s">
        <v>53</v>
      </c>
      <c r="AF207" s="45">
        <f>IF(Z210=0,0,AF203/Z210)</f>
        <v>0</v>
      </c>
      <c r="AK207" s="31"/>
    </row>
    <row r="208" spans="3:47">
      <c r="C208" s="30" t="s">
        <v>52</v>
      </c>
      <c r="D208" s="39">
        <v>6</v>
      </c>
      <c r="E208" s="43">
        <f>(AF210-($F$9-AD208)*AF216+($G$9-AF207)*AF215)*$H$9</f>
        <v>0</v>
      </c>
      <c r="F208" s="43">
        <f>(AF211+($E$9-AB208)*AF216-($G$9-AF208)*AF214)*$I$9</f>
        <v>0</v>
      </c>
      <c r="G208" s="43">
        <f>(AF212-($E$9-AB207)*AF215+($F$9-AD207)*AF214)*$J$9</f>
        <v>0</v>
      </c>
      <c r="H208" s="42"/>
      <c r="I208" s="27">
        <f t="shared" si="15"/>
        <v>0</v>
      </c>
      <c r="J208" s="27">
        <f t="shared" si="16"/>
        <v>0</v>
      </c>
      <c r="K208" s="27">
        <f t="shared" si="17"/>
        <v>0</v>
      </c>
      <c r="M208" s="34">
        <v>6</v>
      </c>
      <c r="N208" s="34"/>
      <c r="O208" s="34"/>
      <c r="P208" s="34"/>
      <c r="Q208" s="34"/>
      <c r="R208" s="34"/>
      <c r="S208" s="34"/>
      <c r="T208" s="31"/>
      <c r="U208" s="34"/>
      <c r="V208" s="34"/>
      <c r="W208" s="34"/>
      <c r="X208" s="33"/>
      <c r="Y208" s="34" t="s">
        <v>12</v>
      </c>
      <c r="Z208" s="34"/>
      <c r="AA208" s="33" t="s">
        <v>51</v>
      </c>
      <c r="AB208" s="45">
        <f>IF(Z211=0,0,AB204/Z211)</f>
        <v>6.2598425196850398</v>
      </c>
      <c r="AC208" s="33" t="s">
        <v>50</v>
      </c>
      <c r="AD208" s="45">
        <f>IF(Z210=0,0,AD204/Z210)</f>
        <v>0</v>
      </c>
      <c r="AE208" s="33" t="s">
        <v>49</v>
      </c>
      <c r="AF208" s="45">
        <f>IF(Z211=0,0,AF204/Z211)</f>
        <v>0</v>
      </c>
      <c r="AK208" s="31"/>
    </row>
    <row r="209" spans="3:37">
      <c r="C209" s="30" t="s">
        <v>48</v>
      </c>
      <c r="D209" s="39">
        <v>7</v>
      </c>
      <c r="E209" s="43">
        <f>(AF210-($F$10-AD208)*AF216+($G$10-AF207)*AF215)*$H$10</f>
        <v>0</v>
      </c>
      <c r="F209" s="43">
        <f>(AF211+($E$10-AB208)*AF216-($G$10-AF208)*AF214)*$I$10</f>
        <v>0</v>
      </c>
      <c r="G209" s="43">
        <f>(AF212-($E$10-AB207)*AF215+($F$10-AD207)*AF214)*$J$10</f>
        <v>0</v>
      </c>
      <c r="H209" s="42"/>
      <c r="I209" s="27">
        <f t="shared" si="15"/>
        <v>0</v>
      </c>
      <c r="J209" s="27">
        <f t="shared" si="16"/>
        <v>0</v>
      </c>
      <c r="K209" s="27">
        <f t="shared" si="17"/>
        <v>0</v>
      </c>
      <c r="M209" s="34">
        <v>7</v>
      </c>
      <c r="N209" s="34"/>
      <c r="O209" s="34"/>
      <c r="P209" s="34"/>
      <c r="Q209" s="34"/>
      <c r="R209" s="34"/>
      <c r="S209" s="34"/>
      <c r="T209" s="31"/>
      <c r="U209" s="34"/>
      <c r="V209" s="34"/>
      <c r="W209" s="34"/>
      <c r="X209" s="33"/>
      <c r="Y209" s="34" t="s">
        <v>47</v>
      </c>
      <c r="Z209" s="34"/>
      <c r="AK209" s="31"/>
    </row>
    <row r="210" spans="3:37">
      <c r="C210" s="30" t="s">
        <v>46</v>
      </c>
      <c r="D210" s="39">
        <v>8</v>
      </c>
      <c r="E210" s="43">
        <f>(AF210-($F$11-AD208)*AF216+($G$11-AF207)*AF215)*$H$11</f>
        <v>0</v>
      </c>
      <c r="F210" s="43">
        <f>(AF211+($E$11-AB208)*AF216-($G$11-AF208)*AF214)*$I$11</f>
        <v>0</v>
      </c>
      <c r="G210" s="43">
        <f>(AF212-($E$11-AB207)*AF215+($F$11-AD207)*AF214)*$J$11</f>
        <v>0</v>
      </c>
      <c r="H210" s="42"/>
      <c r="I210" s="27">
        <f t="shared" si="15"/>
        <v>0</v>
      </c>
      <c r="J210" s="27">
        <f t="shared" si="16"/>
        <v>0</v>
      </c>
      <c r="K210" s="27">
        <f t="shared" si="17"/>
        <v>0</v>
      </c>
      <c r="M210" s="34">
        <v>8</v>
      </c>
      <c r="N210" s="34"/>
      <c r="O210" s="34"/>
      <c r="P210" s="34"/>
      <c r="Q210" s="34"/>
      <c r="R210" s="34"/>
      <c r="S210" s="34"/>
      <c r="T210" s="31"/>
      <c r="U210" s="34"/>
      <c r="V210" s="34"/>
      <c r="W210" s="34"/>
      <c r="X210" s="33"/>
      <c r="Y210" s="34" t="s">
        <v>45</v>
      </c>
      <c r="Z210" s="34">
        <f>SUM($H$4:$H$32)</f>
        <v>4</v>
      </c>
      <c r="AA210" s="33" t="s">
        <v>44</v>
      </c>
      <c r="AB210" s="44">
        <f>SUM(Q203:Q227)</f>
        <v>0</v>
      </c>
      <c r="AC210" s="33" t="s">
        <v>43</v>
      </c>
      <c r="AD210" s="33">
        <f>SUM(U203:U227,SUMPRODUCT(S203:S227,(O203:O227-AD207)),-SUMPRODUCT(R203:R227,(P203:P227-AF208)))</f>
        <v>0</v>
      </c>
      <c r="AE210" s="26" t="s">
        <v>42</v>
      </c>
      <c r="AF210" s="26">
        <f>IF(Z210=0,0,AB210/Z210)</f>
        <v>0</v>
      </c>
      <c r="AK210" s="31"/>
    </row>
    <row r="211" spans="3:37">
      <c r="C211" s="30" t="s">
        <v>41</v>
      </c>
      <c r="D211" s="39">
        <v>9</v>
      </c>
      <c r="E211" s="43">
        <f>(AF210-($F$12-AD208)*AF216+($G$12-AF207)*AF215)*$H$12</f>
        <v>0</v>
      </c>
      <c r="F211" s="43">
        <f>(AF211+($E$12-AB208)*AF216-($G$12-AF208)*AF214)*$I$12</f>
        <v>0</v>
      </c>
      <c r="G211" s="43">
        <f>(AF212-($E$12-AB207)*AF215+($F$12-AD207)*AF214)*$J$12</f>
        <v>0</v>
      </c>
      <c r="H211" s="42"/>
      <c r="I211" s="27">
        <f t="shared" si="15"/>
        <v>0</v>
      </c>
      <c r="J211" s="27">
        <f t="shared" si="16"/>
        <v>0</v>
      </c>
      <c r="K211" s="27">
        <f t="shared" si="17"/>
        <v>0</v>
      </c>
      <c r="M211" s="34">
        <v>9</v>
      </c>
      <c r="N211" s="34"/>
      <c r="O211" s="34"/>
      <c r="P211" s="34"/>
      <c r="Q211" s="34"/>
      <c r="R211" s="34"/>
      <c r="S211" s="34"/>
      <c r="T211" s="31"/>
      <c r="U211" s="34"/>
      <c r="V211" s="34"/>
      <c r="W211" s="34"/>
      <c r="X211" s="33"/>
      <c r="Y211" s="34" t="s">
        <v>40</v>
      </c>
      <c r="Z211" s="34">
        <f>SUM($I$4:$I$32)</f>
        <v>4</v>
      </c>
      <c r="AA211" s="33" t="s">
        <v>39</v>
      </c>
      <c r="AB211" s="33">
        <f>SUM(R203:R227)</f>
        <v>0</v>
      </c>
      <c r="AC211" s="33" t="s">
        <v>38</v>
      </c>
      <c r="AD211" s="33">
        <f>SUM(V203:V227,SUMPRODUCT(Q203:Q227,(P203:P227-AF207)),-SUMPRODUCT(S203:S227,(N203:N227-AB207)))</f>
        <v>0</v>
      </c>
      <c r="AE211" s="26" t="s">
        <v>37</v>
      </c>
      <c r="AF211" s="26">
        <f>IF(Z211=0,0,AB211/Z211)</f>
        <v>0</v>
      </c>
      <c r="AK211" s="31"/>
    </row>
    <row r="212" spans="3:37">
      <c r="C212" s="30"/>
      <c r="D212" s="39">
        <v>10</v>
      </c>
      <c r="E212" s="43">
        <f>(AF210-($F$13-AD208)*AF216+($G$13-AF207)*AF215)*$H$13</f>
        <v>0</v>
      </c>
      <c r="F212" s="43">
        <f>(AF211+($E$13-AB208)*AF216-($G$13-AF208)*AF214)*$I$13</f>
        <v>0</v>
      </c>
      <c r="G212" s="43">
        <f>(AF212-($E$13-AB207)*AF215+($F$13-AD207)*AF214)*$J$13</f>
        <v>0</v>
      </c>
      <c r="H212" s="42"/>
      <c r="I212" s="27">
        <f t="shared" si="15"/>
        <v>0</v>
      </c>
      <c r="J212" s="27">
        <f t="shared" si="16"/>
        <v>0</v>
      </c>
      <c r="K212" s="27">
        <f t="shared" si="17"/>
        <v>0</v>
      </c>
      <c r="M212" s="34">
        <v>10</v>
      </c>
      <c r="N212" s="34"/>
      <c r="O212" s="34"/>
      <c r="P212" s="34"/>
      <c r="Q212" s="34"/>
      <c r="R212" s="34"/>
      <c r="S212" s="34"/>
      <c r="T212" s="31"/>
      <c r="U212" s="34"/>
      <c r="V212" s="34"/>
      <c r="W212" s="34"/>
      <c r="X212" s="33"/>
      <c r="Y212" s="34" t="s">
        <v>36</v>
      </c>
      <c r="Z212" s="34">
        <f>SUM($J$4:$J$32)</f>
        <v>4</v>
      </c>
      <c r="AA212" s="33" t="s">
        <v>35</v>
      </c>
      <c r="AB212" s="33">
        <f>SUM(S203:S227)</f>
        <v>0</v>
      </c>
      <c r="AC212" s="33" t="s">
        <v>34</v>
      </c>
      <c r="AD212" s="33">
        <f>SUM(W203:W227,SUMPRODUCT(R203:R227,(N203:N227-AB208)),-SUMPRODUCT(Q203:Q227,(O203:O227-AD208)))</f>
        <v>0</v>
      </c>
      <c r="AE212" s="26" t="s">
        <v>33</v>
      </c>
      <c r="AF212" s="26">
        <f>IF(Z212=0,0,AB212/Z212)</f>
        <v>0</v>
      </c>
      <c r="AK212" s="31"/>
    </row>
    <row r="213" spans="3:37">
      <c r="C213" s="30"/>
      <c r="D213" s="39">
        <v>11</v>
      </c>
      <c r="E213" s="43">
        <f>(AF210-($F$14-AD208)*AF216+($G$14-AF207)*AF215)*$H$14</f>
        <v>0</v>
      </c>
      <c r="F213" s="43">
        <f>(AF211+($E$14-AB208)*AF216-($G$14-AF208)*AF214)*$I$14</f>
        <v>0</v>
      </c>
      <c r="G213" s="43">
        <f>(AF212-($E$14-AB207)*AF215+($F$14-AD207)*AF214)*$J$14</f>
        <v>0</v>
      </c>
      <c r="H213" s="42"/>
      <c r="I213" s="27">
        <f t="shared" si="15"/>
        <v>0</v>
      </c>
      <c r="J213" s="27">
        <f t="shared" si="16"/>
        <v>0</v>
      </c>
      <c r="K213" s="27">
        <f t="shared" si="17"/>
        <v>0</v>
      </c>
      <c r="M213" s="34">
        <v>11</v>
      </c>
      <c r="N213" s="34"/>
      <c r="O213" s="34"/>
      <c r="P213" s="34"/>
      <c r="Q213" s="34"/>
      <c r="R213" s="34"/>
      <c r="S213" s="34"/>
      <c r="T213" s="31"/>
      <c r="U213" s="34"/>
      <c r="V213" s="34"/>
      <c r="W213" s="34"/>
      <c r="X213" s="33"/>
      <c r="AK213" s="31"/>
    </row>
    <row r="214" spans="3:37">
      <c r="C214" s="30"/>
      <c r="D214" s="39">
        <v>12</v>
      </c>
      <c r="E214" s="28">
        <f>(AF210-($F$15-AD208)*AF216+($G$15-AF207)*AF215)*$H$15</f>
        <v>0</v>
      </c>
      <c r="F214" s="28">
        <f>(AF211+($E$15-AB208)*AF216-($G$15-AF208)*AF214)*$I$15</f>
        <v>0</v>
      </c>
      <c r="G214" s="28">
        <f>(AF212-($E$15-AB207)*AF215+($F$15-AD207)*AF214)*$J$15</f>
        <v>0</v>
      </c>
      <c r="I214" s="27">
        <f t="shared" si="15"/>
        <v>0</v>
      </c>
      <c r="J214" s="27">
        <f t="shared" si="16"/>
        <v>0</v>
      </c>
      <c r="K214" s="27">
        <f t="shared" si="17"/>
        <v>0</v>
      </c>
      <c r="M214" s="34">
        <v>12</v>
      </c>
      <c r="N214" s="34"/>
      <c r="O214" s="34"/>
      <c r="P214" s="34"/>
      <c r="Q214" s="34"/>
      <c r="R214" s="34"/>
      <c r="S214" s="34"/>
      <c r="T214" s="31"/>
      <c r="U214" s="34"/>
      <c r="V214" s="34"/>
      <c r="W214" s="34"/>
      <c r="X214" s="33"/>
      <c r="Y214" s="36">
        <v>1</v>
      </c>
      <c r="Z214" s="38">
        <f>AF206+AD205-Z212*AD207^2-Z211*AF208^2</f>
        <v>112.995225990452</v>
      </c>
      <c r="AA214" s="35">
        <v>1</v>
      </c>
      <c r="AB214" s="26">
        <f>Z216*Z215^2-Z215*Z218^2</f>
        <v>6626974.9209806556</v>
      </c>
      <c r="AC214" s="37">
        <v>1</v>
      </c>
      <c r="AD214" s="26">
        <f>Z216*Z215-Z218^2</f>
        <v>42279.371267155962</v>
      </c>
      <c r="AE214" s="40">
        <v>1</v>
      </c>
      <c r="AF214" s="26">
        <f>IF(Z214=0,0,IF(Z215=0,AD210/Z216,IF(Z216=0,AD210/Z215,(AD210*AB214+AD211*AB215+AD212*AB216)/(AD214*AD215-AD216))))</f>
        <v>0</v>
      </c>
      <c r="AK214" s="31"/>
    </row>
    <row r="215" spans="3:37">
      <c r="C215" s="30"/>
      <c r="D215" s="39">
        <v>13</v>
      </c>
      <c r="E215" s="28">
        <f>(AF210-($F$16-AD208)*AF216+($G$16-AF207)*AF215)*$H$16</f>
        <v>0</v>
      </c>
      <c r="F215" s="28">
        <f>(AF211+($E$16-AB208)*AF216-($G$16-AF208)*AF214)*$I$16</f>
        <v>0</v>
      </c>
      <c r="G215" s="28">
        <f>(AF212-($E$16-AB207)*AF215+($F$16-AD207)*AF214)*$J$16</f>
        <v>0</v>
      </c>
      <c r="I215" s="27">
        <f t="shared" si="15"/>
        <v>0</v>
      </c>
      <c r="J215" s="27">
        <f t="shared" si="16"/>
        <v>0</v>
      </c>
      <c r="K215" s="27">
        <f t="shared" si="17"/>
        <v>0</v>
      </c>
      <c r="M215" s="34">
        <v>13</v>
      </c>
      <c r="N215" s="34"/>
      <c r="O215" s="34"/>
      <c r="P215" s="34"/>
      <c r="Q215" s="34"/>
      <c r="R215" s="34"/>
      <c r="S215" s="34"/>
      <c r="T215" s="31"/>
      <c r="U215" s="34"/>
      <c r="V215" s="34"/>
      <c r="W215" s="34"/>
      <c r="X215" s="33"/>
      <c r="Y215" s="36">
        <v>2</v>
      </c>
      <c r="Z215" s="38">
        <f>AF205+AB205-Z212*AB207^2-Z210*AF207^2</f>
        <v>156.74251348502699</v>
      </c>
      <c r="AA215" s="35">
        <v>2</v>
      </c>
      <c r="AB215" s="41">
        <f>Z215*Z216*Z217+Z215*Z218*Z219</f>
        <v>0</v>
      </c>
      <c r="AC215" s="37">
        <v>2</v>
      </c>
      <c r="AD215" s="26">
        <f>Z214*Z215-Z217^2</f>
        <v>17711.155733552096</v>
      </c>
      <c r="AE215" s="40">
        <v>2</v>
      </c>
      <c r="AF215" s="26">
        <f>IF(Z214=0,AD211/Z216,IF(Z215=0,0,IF(Z216=0,AD211/Z214,(AD211*AB217+AD210*AB218+AD212*AB219)/(AD217*AD215-AD219))))</f>
        <v>0</v>
      </c>
      <c r="AK215" s="31"/>
    </row>
    <row r="216" spans="3:37">
      <c r="C216" s="30"/>
      <c r="D216" s="39">
        <v>14</v>
      </c>
      <c r="E216" s="28">
        <f>(AF210-($F$17-AD208)*AF216+($G$17-AF207)*AF215)*$H$17</f>
        <v>0</v>
      </c>
      <c r="F216" s="28">
        <f>(AF211+($E$17-AB208)*AF216-($G$17-AF208)*AF214)*$I$17</f>
        <v>0</v>
      </c>
      <c r="G216" s="28">
        <f>(AF212-($E$17-AB207)*AF215+($F$17-AD207)*AF214)*$J$17</f>
        <v>0</v>
      </c>
      <c r="I216" s="27">
        <f t="shared" si="15"/>
        <v>0</v>
      </c>
      <c r="J216" s="27">
        <f t="shared" si="16"/>
        <v>0</v>
      </c>
      <c r="K216" s="27">
        <f t="shared" si="17"/>
        <v>0</v>
      </c>
      <c r="M216" s="34">
        <v>14</v>
      </c>
      <c r="N216" s="34"/>
      <c r="O216" s="34"/>
      <c r="P216" s="34"/>
      <c r="Q216" s="34"/>
      <c r="R216" s="34"/>
      <c r="S216" s="34"/>
      <c r="T216" s="31"/>
      <c r="U216" s="34"/>
      <c r="V216" s="34"/>
      <c r="W216" s="34"/>
      <c r="X216" s="33"/>
      <c r="Y216" s="36">
        <v>3</v>
      </c>
      <c r="Z216" s="38">
        <f>AD206+AB206-Z211*AB208^2-Z210*AD208^2</f>
        <v>269.73773947547897</v>
      </c>
      <c r="AA216" s="35">
        <v>3</v>
      </c>
      <c r="AB216" s="26">
        <f>Z219*Z215^2+Z215*Z217*Z218</f>
        <v>0</v>
      </c>
      <c r="AC216" s="37">
        <v>3</v>
      </c>
      <c r="AD216" s="26">
        <f>(Z215*Z219+Z217*Z218)^2</f>
        <v>0</v>
      </c>
      <c r="AE216" s="40">
        <v>3</v>
      </c>
      <c r="AF216" s="38">
        <f>IF(Z214=0,AD212/Z215,IF(Z215=0,AD212/Z214,IF(Z216=0,0,(AD212*AB220+AD210*AB221+AD211*AB219)/(AD215*AD217-AD219))))</f>
        <v>0</v>
      </c>
    </row>
    <row r="217" spans="3:37">
      <c r="C217" s="30"/>
      <c r="D217" s="39">
        <v>15</v>
      </c>
      <c r="E217" s="28">
        <f>(AF210-($F$18-AD208)*AF216+($G$18-AF207)*AF215)*$H$18</f>
        <v>0</v>
      </c>
      <c r="F217" s="28">
        <f>(AF211+($E$18-AB208)*AF216-($G$18-AF208)*AF214)*$I$18</f>
        <v>0</v>
      </c>
      <c r="G217" s="28">
        <f>(AF212-($E$18-AB207)*AF215+($F$18-AD207)*AF214)*$J$18</f>
        <v>0</v>
      </c>
      <c r="I217" s="27">
        <f t="shared" si="15"/>
        <v>0</v>
      </c>
      <c r="J217" s="27">
        <f t="shared" si="16"/>
        <v>0</v>
      </c>
      <c r="K217" s="27">
        <f t="shared" si="17"/>
        <v>0</v>
      </c>
      <c r="M217" s="34">
        <v>15</v>
      </c>
      <c r="N217" s="34"/>
      <c r="O217" s="34"/>
      <c r="P217" s="34"/>
      <c r="Q217" s="34"/>
      <c r="R217" s="34"/>
      <c r="S217" s="34"/>
      <c r="T217" s="31"/>
      <c r="U217" s="34"/>
      <c r="V217" s="34"/>
      <c r="W217" s="34"/>
      <c r="X217" s="33"/>
      <c r="Y217" s="36">
        <v>4</v>
      </c>
      <c r="Z217" s="38">
        <f>AB202-AD207*AB207*Z212</f>
        <v>0</v>
      </c>
      <c r="AA217" s="35">
        <v>4</v>
      </c>
      <c r="AB217" s="26">
        <f>Z216*Z214^2-Z214*Z219^2</f>
        <v>3443990.1744071501</v>
      </c>
      <c r="AC217" s="37">
        <v>4</v>
      </c>
      <c r="AD217" s="26">
        <f>Z216*Z214-Z219^2</f>
        <v>30479.076830185411</v>
      </c>
    </row>
    <row r="218" spans="3:37">
      <c r="C218" s="30"/>
      <c r="D218" s="29">
        <v>16</v>
      </c>
      <c r="E218" s="28">
        <f>(AF210-($F$19-AD208)*AF216+($G$19-AF207)*AF215)*$H$19</f>
        <v>0</v>
      </c>
      <c r="F218" s="28">
        <f>(AF211+($E$19-AB208)*AF216-($G$19-AF208)*AF214)*$I$19</f>
        <v>0</v>
      </c>
      <c r="G218" s="28">
        <f>(AF212-($E$19-AB207)*AF215+($F$19-AD207)*AF214)*$J$19</f>
        <v>0</v>
      </c>
      <c r="I218" s="27">
        <f t="shared" si="15"/>
        <v>0</v>
      </c>
      <c r="J218" s="27">
        <f t="shared" si="16"/>
        <v>0</v>
      </c>
      <c r="K218" s="27">
        <f t="shared" si="17"/>
        <v>0</v>
      </c>
      <c r="M218" s="34">
        <v>16</v>
      </c>
      <c r="N218" s="34"/>
      <c r="O218" s="34"/>
      <c r="P218" s="34"/>
      <c r="Q218" s="34"/>
      <c r="R218" s="34"/>
      <c r="S218" s="34"/>
      <c r="T218" s="31"/>
      <c r="U218" s="34"/>
      <c r="V218" s="34"/>
      <c r="W218" s="34"/>
      <c r="X218" s="33"/>
      <c r="Y218" s="36">
        <v>5</v>
      </c>
      <c r="Z218" s="38">
        <f>AD202-AD208*AF207*Z210</f>
        <v>0</v>
      </c>
      <c r="AA218" s="35">
        <v>5</v>
      </c>
      <c r="AB218" s="26">
        <f>Z214*Z216*Z217+Z214*Z218*Z219</f>
        <v>0</v>
      </c>
      <c r="AC218" s="37"/>
    </row>
    <row r="219" spans="3:37">
      <c r="C219" s="30"/>
      <c r="D219" s="29">
        <v>17</v>
      </c>
      <c r="E219" s="28">
        <f>(AF210-($F$20-AD208)*AF216+($G$20-AF207)*AF215)*$H$20</f>
        <v>0</v>
      </c>
      <c r="F219" s="28">
        <f>(AF211+($E$20-AB208)*AF216-($G$20-AF208)*AF214)*$I$20</f>
        <v>0</v>
      </c>
      <c r="G219" s="28">
        <f>(AF212-($E$20-AB207)*AF215+($F$20-AD207)*AF214)*$J$20</f>
        <v>0</v>
      </c>
      <c r="I219" s="27">
        <f t="shared" si="15"/>
        <v>0</v>
      </c>
      <c r="J219" s="27">
        <f t="shared" si="16"/>
        <v>0</v>
      </c>
      <c r="K219" s="27">
        <f t="shared" si="17"/>
        <v>0</v>
      </c>
      <c r="M219" s="34">
        <v>17</v>
      </c>
      <c r="N219" s="34"/>
      <c r="O219" s="34"/>
      <c r="P219" s="34"/>
      <c r="Q219" s="34"/>
      <c r="R219" s="34"/>
      <c r="S219" s="34"/>
      <c r="T219" s="31"/>
      <c r="U219" s="34"/>
      <c r="V219" s="34"/>
      <c r="W219" s="34"/>
      <c r="X219" s="33"/>
      <c r="Y219" s="36">
        <v>6</v>
      </c>
      <c r="Z219" s="38">
        <f>AF202-AB208*AF208*Z211</f>
        <v>0</v>
      </c>
      <c r="AA219" s="35">
        <v>6</v>
      </c>
      <c r="AB219" s="26">
        <f>Z218*Z214^2+Z214*Z217*Z219</f>
        <v>0</v>
      </c>
      <c r="AC219" s="37">
        <v>6</v>
      </c>
      <c r="AD219" s="26">
        <f>(Z214*Z218+Z217*Z219)^2</f>
        <v>0</v>
      </c>
    </row>
    <row r="220" spans="3:37">
      <c r="C220" s="30"/>
      <c r="D220" s="29">
        <v>18</v>
      </c>
      <c r="E220" s="28">
        <f>(AF210-($F$21-AD208)*AF216+($G$21-AF207)*AF215)*$H$21</f>
        <v>0</v>
      </c>
      <c r="F220" s="28">
        <f>(AF211+($E$21-AB208)*AF216-($G$21-AF208)*AF214)*$I$21</f>
        <v>0</v>
      </c>
      <c r="G220" s="28">
        <f>(AF212-($E$21-AB207)*AF215+($F$21-AD207)*AF214)*$J$21</f>
        <v>0</v>
      </c>
      <c r="I220" s="27">
        <f t="shared" si="15"/>
        <v>0</v>
      </c>
      <c r="J220" s="27">
        <f t="shared" si="16"/>
        <v>0</v>
      </c>
      <c r="K220" s="27">
        <f t="shared" si="17"/>
        <v>0</v>
      </c>
      <c r="M220" s="34">
        <v>18</v>
      </c>
      <c r="N220" s="34"/>
      <c r="O220" s="34"/>
      <c r="P220" s="34"/>
      <c r="Q220" s="34"/>
      <c r="R220" s="34"/>
      <c r="S220" s="34"/>
      <c r="T220" s="31"/>
      <c r="U220" s="34"/>
      <c r="V220" s="34"/>
      <c r="W220" s="34"/>
      <c r="X220" s="33"/>
      <c r="Y220" s="36"/>
      <c r="AA220" s="35">
        <v>7</v>
      </c>
      <c r="AB220" s="26">
        <f>Z215*Z214^2-Z214*Z217^2</f>
        <v>2001276.0446648085</v>
      </c>
    </row>
    <row r="221" spans="3:37">
      <c r="C221" s="30"/>
      <c r="D221" s="29">
        <v>19</v>
      </c>
      <c r="E221" s="28">
        <f>(AF210-($F$22-AD208)*AF216+($G$22-AF207)*AF215)*$H$22</f>
        <v>0</v>
      </c>
      <c r="F221" s="28">
        <f>(AF211+($E$22-AB208)*AF216-($G$22-AF208)*AF214)*$I$22</f>
        <v>0</v>
      </c>
      <c r="G221" s="28">
        <f>(AF212-($E$22-AB207)*AF215+($F$22-AD207)*AF214)*$J$22</f>
        <v>0</v>
      </c>
      <c r="I221" s="27">
        <f t="shared" si="15"/>
        <v>0</v>
      </c>
      <c r="J221" s="27">
        <f t="shared" si="16"/>
        <v>0</v>
      </c>
      <c r="K221" s="27">
        <f t="shared" si="17"/>
        <v>0</v>
      </c>
      <c r="M221" s="34">
        <v>19</v>
      </c>
      <c r="N221" s="34"/>
      <c r="O221" s="34"/>
      <c r="P221" s="34"/>
      <c r="Q221" s="34"/>
      <c r="R221" s="34"/>
      <c r="S221" s="34"/>
      <c r="T221" s="31"/>
      <c r="U221" s="34"/>
      <c r="V221" s="34"/>
      <c r="W221" s="34"/>
      <c r="X221" s="33"/>
      <c r="AA221" s="35">
        <v>8</v>
      </c>
      <c r="AB221" s="26">
        <f>Z214*Z215*Z219+Z214*Z218*Z217</f>
        <v>0</v>
      </c>
    </row>
    <row r="222" spans="3:37">
      <c r="C222" s="30"/>
      <c r="D222" s="29">
        <v>20</v>
      </c>
      <c r="E222" s="28">
        <f>(AF210-($F$23-AD208)*AF216+($G$23-AF207)*AF215)*$H$23</f>
        <v>0</v>
      </c>
      <c r="F222" s="28">
        <f>(AF211+($E$23-AB208)*AF216-($G$23-AF208)*AF214)*$I$23</f>
        <v>0</v>
      </c>
      <c r="G222" s="28">
        <f>(AF212-($E$23-AB207)*AF215+($F$23-AD207)*AF214)*$J$23</f>
        <v>0</v>
      </c>
      <c r="I222" s="27">
        <f t="shared" si="15"/>
        <v>0</v>
      </c>
      <c r="J222" s="27">
        <f t="shared" si="16"/>
        <v>0</v>
      </c>
      <c r="K222" s="27">
        <f t="shared" si="17"/>
        <v>0</v>
      </c>
      <c r="M222" s="34">
        <v>20</v>
      </c>
      <c r="N222" s="34"/>
      <c r="O222" s="34"/>
      <c r="P222" s="34"/>
      <c r="Q222" s="34"/>
      <c r="R222" s="34"/>
      <c r="S222" s="34"/>
      <c r="T222" s="31"/>
      <c r="U222" s="34"/>
      <c r="V222" s="34"/>
      <c r="W222" s="34"/>
      <c r="X222" s="33"/>
      <c r="Y222" s="33"/>
      <c r="Z222" s="33"/>
      <c r="AA222" s="33"/>
      <c r="AB222" s="33"/>
      <c r="AC222" s="33"/>
      <c r="AD222" s="33"/>
    </row>
    <row r="223" spans="3:37">
      <c r="C223" s="30"/>
      <c r="D223" s="29">
        <v>21</v>
      </c>
      <c r="E223" s="28">
        <f>(AF210-($F$24-AD208)*AF216+($G$24-AF207)*AF215)*$H$24</f>
        <v>0</v>
      </c>
      <c r="F223" s="28">
        <f>(AF211+($E$24-AB208)*AF216-($G$24-AF208)*AF214)*$I$24</f>
        <v>0</v>
      </c>
      <c r="G223" s="28">
        <f>(AF212-($E$24-AB207)*AF215+($F$24-AD207)*AF214)*$J$24</f>
        <v>0</v>
      </c>
      <c r="I223" s="27">
        <f t="shared" si="15"/>
        <v>0</v>
      </c>
      <c r="J223" s="27">
        <f t="shared" si="16"/>
        <v>0</v>
      </c>
      <c r="K223" s="27">
        <f t="shared" si="17"/>
        <v>0</v>
      </c>
      <c r="M223" s="34">
        <v>21</v>
      </c>
      <c r="N223" s="34"/>
      <c r="O223" s="34"/>
      <c r="P223" s="34"/>
      <c r="Q223" s="34"/>
      <c r="R223" s="34"/>
      <c r="S223" s="34"/>
      <c r="T223" s="31"/>
      <c r="U223" s="34"/>
      <c r="V223" s="34"/>
      <c r="W223" s="34"/>
      <c r="X223" s="33"/>
      <c r="Y223" s="33"/>
      <c r="Z223" s="33"/>
      <c r="AA223" s="33"/>
      <c r="AB223" s="33"/>
      <c r="AC223" s="33"/>
      <c r="AD223" s="33"/>
    </row>
    <row r="224" spans="3:37">
      <c r="C224" s="30"/>
      <c r="D224" s="29">
        <v>22</v>
      </c>
      <c r="E224" s="28">
        <f>(AF210-($F$25-AD208)*AF216+($G$25-AF207)*AF215)*$H$25</f>
        <v>0</v>
      </c>
      <c r="F224" s="28">
        <f>(AF211+($E$25-AB208)*AF216-($G$25-AF208)*AF214)*$I$25</f>
        <v>0</v>
      </c>
      <c r="G224" s="28">
        <f>(AF212-($E$25-AB207)*AF215+($F$25-AD207)*AF214)*$J$25</f>
        <v>0</v>
      </c>
      <c r="I224" s="27">
        <f t="shared" si="15"/>
        <v>0</v>
      </c>
      <c r="J224" s="27">
        <f t="shared" si="16"/>
        <v>0</v>
      </c>
      <c r="K224" s="27">
        <f t="shared" si="17"/>
        <v>0</v>
      </c>
      <c r="M224" s="34">
        <v>22</v>
      </c>
      <c r="N224" s="34"/>
      <c r="O224" s="34"/>
      <c r="P224" s="34"/>
      <c r="Q224" s="34"/>
      <c r="R224" s="34"/>
      <c r="S224" s="34"/>
      <c r="T224" s="31"/>
      <c r="U224" s="34"/>
      <c r="V224" s="34"/>
      <c r="W224" s="34"/>
      <c r="X224" s="33"/>
      <c r="Y224" s="33"/>
      <c r="Z224" s="33"/>
      <c r="AA224" s="33"/>
      <c r="AB224" s="33"/>
      <c r="AC224" s="33"/>
      <c r="AD224" s="33"/>
    </row>
    <row r="225" spans="3:47">
      <c r="C225" s="30"/>
      <c r="D225" s="29">
        <v>23</v>
      </c>
      <c r="E225" s="28">
        <f>(AF210-($F$26-AD208)*AF216+($G$26-AF207)*AF215)*$H$26</f>
        <v>0</v>
      </c>
      <c r="F225" s="28">
        <f>(AF211+($E$26-AB208)*AF216-($G$26-AF208)*AF214)*$I$26</f>
        <v>0</v>
      </c>
      <c r="G225" s="28">
        <f>(AF212-($E$26-AB207)*AF215+($F$26-AD207)*AF214)*$J$26</f>
        <v>0</v>
      </c>
      <c r="I225" s="27">
        <f t="shared" si="15"/>
        <v>0</v>
      </c>
      <c r="J225" s="27">
        <f t="shared" si="16"/>
        <v>0</v>
      </c>
      <c r="K225" s="27">
        <f t="shared" si="17"/>
        <v>0</v>
      </c>
      <c r="M225" s="34">
        <v>23</v>
      </c>
      <c r="N225" s="34"/>
      <c r="O225" s="34"/>
      <c r="P225" s="34"/>
      <c r="Q225" s="34"/>
      <c r="R225" s="34"/>
      <c r="S225" s="34"/>
      <c r="T225" s="31"/>
      <c r="U225" s="34"/>
      <c r="V225" s="34"/>
      <c r="W225" s="34"/>
      <c r="X225" s="33"/>
      <c r="Y225" s="33"/>
      <c r="Z225" s="33"/>
      <c r="AA225" s="33"/>
      <c r="AB225" s="33"/>
      <c r="AC225" s="33"/>
      <c r="AD225" s="33"/>
    </row>
    <row r="226" spans="3:47">
      <c r="C226" s="30"/>
      <c r="D226" s="29">
        <v>24</v>
      </c>
      <c r="E226" s="28">
        <f>(AF210-($F$27-AD208)*AF216+($G$27-AF207)*AF215)*$H$27</f>
        <v>0</v>
      </c>
      <c r="F226" s="28">
        <f>(AF211+($E$27-AB208)*AF216-($G$27-AF208)*AF214)*$I$27</f>
        <v>0</v>
      </c>
      <c r="G226" s="28">
        <f>(AF212-($E$27-AB207)*AF215+($F$27-AD207)*AF214)*$J$27</f>
        <v>0</v>
      </c>
      <c r="I226" s="27">
        <f t="shared" si="15"/>
        <v>0</v>
      </c>
      <c r="J226" s="27">
        <f t="shared" si="16"/>
        <v>0</v>
      </c>
      <c r="K226" s="27">
        <f t="shared" si="17"/>
        <v>0</v>
      </c>
      <c r="L226" s="31"/>
      <c r="M226" s="34">
        <v>24</v>
      </c>
      <c r="N226" s="34"/>
      <c r="O226" s="34"/>
      <c r="P226" s="34"/>
      <c r="Q226" s="34"/>
      <c r="R226" s="34"/>
      <c r="S226" s="34"/>
      <c r="T226" s="31"/>
      <c r="U226" s="34"/>
      <c r="V226" s="34"/>
      <c r="W226" s="34"/>
      <c r="X226" s="33"/>
      <c r="Y226" s="33"/>
      <c r="Z226" s="33"/>
      <c r="AA226" s="33"/>
      <c r="AB226" s="33"/>
      <c r="AC226" s="33"/>
      <c r="AD226" s="33"/>
      <c r="AF226" s="31"/>
      <c r="AG226" s="31"/>
      <c r="AH226" s="31"/>
      <c r="AI226" s="31"/>
      <c r="AJ226" s="31"/>
      <c r="AM226" s="31"/>
      <c r="AN226" s="31"/>
      <c r="AO226" s="31"/>
      <c r="AP226" s="31"/>
      <c r="AQ226" s="31"/>
      <c r="AR226" s="31"/>
      <c r="AS226" s="31"/>
      <c r="AT226" s="31"/>
      <c r="AU226" s="31"/>
    </row>
    <row r="227" spans="3:47">
      <c r="C227" s="30"/>
      <c r="D227" s="29">
        <v>25</v>
      </c>
      <c r="E227" s="28">
        <f>(AF210-($F$28-AD208)*AF216+($G$28-AF207)*AF215)*$H$28</f>
        <v>0</v>
      </c>
      <c r="F227" s="28">
        <f>(AF211+($E$28-AB208)*AF216-($G$28-AF208)*AF214)*$I$28</f>
        <v>0</v>
      </c>
      <c r="G227" s="28">
        <f>(AF212-($E$28-AB207)*AF215+($F$28-AD207)*AF214)*$J$28</f>
        <v>0</v>
      </c>
      <c r="I227" s="27">
        <f t="shared" si="15"/>
        <v>0</v>
      </c>
      <c r="J227" s="27">
        <f t="shared" si="16"/>
        <v>0</v>
      </c>
      <c r="K227" s="27">
        <f t="shared" si="17"/>
        <v>0</v>
      </c>
      <c r="M227" s="34">
        <v>25</v>
      </c>
      <c r="N227" s="34"/>
      <c r="O227" s="34"/>
      <c r="P227" s="34"/>
      <c r="Q227" s="34"/>
      <c r="R227" s="34"/>
      <c r="S227" s="34"/>
      <c r="T227" s="31"/>
      <c r="U227" s="34"/>
      <c r="V227" s="34"/>
      <c r="W227" s="34"/>
      <c r="X227" s="33"/>
      <c r="Y227" s="33"/>
      <c r="Z227" s="33"/>
      <c r="AA227" s="33"/>
      <c r="AB227" s="33"/>
      <c r="AC227" s="33"/>
      <c r="AD227" s="33"/>
    </row>
    <row r="228" spans="3:47">
      <c r="C228" s="30"/>
      <c r="D228" s="29">
        <v>26</v>
      </c>
      <c r="E228" s="28">
        <f>(AF210-($F$29-AD208)*AF216+($G$29-AF207)*AF215)*$H$29</f>
        <v>0</v>
      </c>
      <c r="F228" s="28">
        <f>(AF211+($E$29-AB208)*AF216-($G$29-AF208)*AF214)*$I$29</f>
        <v>0</v>
      </c>
      <c r="G228" s="28">
        <f>(AF212-($E$29-AB207)*AF215+($F$29-AD207)*AF214)*$J$29</f>
        <v>0</v>
      </c>
      <c r="I228" s="27">
        <f t="shared" si="15"/>
        <v>0</v>
      </c>
      <c r="J228" s="27">
        <f t="shared" si="16"/>
        <v>0</v>
      </c>
      <c r="K228" s="27">
        <f t="shared" si="17"/>
        <v>0</v>
      </c>
      <c r="M228" s="33"/>
      <c r="N228" s="33"/>
      <c r="O228" s="33"/>
      <c r="P228" s="33"/>
      <c r="Q228" s="33"/>
      <c r="R228" s="33"/>
      <c r="S228" s="33"/>
      <c r="U228" s="33"/>
      <c r="V228" s="33"/>
      <c r="W228" s="33"/>
      <c r="X228" s="33"/>
      <c r="Y228" s="33"/>
      <c r="Z228" s="33"/>
      <c r="AA228" s="33"/>
      <c r="AB228" s="33"/>
      <c r="AC228" s="33"/>
      <c r="AD228" s="33"/>
      <c r="AK228" s="31"/>
      <c r="AL228" s="31"/>
    </row>
    <row r="229" spans="3:47">
      <c r="C229" s="30"/>
      <c r="D229" s="29">
        <v>27</v>
      </c>
      <c r="E229" s="28">
        <f>(AF210-($F$30-AD208)*AF216+($G$30-AF207)*AF215)*$H$30</f>
        <v>0</v>
      </c>
      <c r="F229" s="28">
        <f>(AF211+($E$30-AB208)*AF216-($G$30-AF208)*AF214)*$I$30</f>
        <v>0</v>
      </c>
      <c r="G229" s="28">
        <f>(AF212-($E$30-AB207)*AF215+($F$30-AD207)*AF214)*$J$30</f>
        <v>0</v>
      </c>
      <c r="I229" s="27">
        <f t="shared" si="15"/>
        <v>0</v>
      </c>
      <c r="J229" s="27">
        <f t="shared" si="16"/>
        <v>0</v>
      </c>
      <c r="K229" s="27">
        <f t="shared" si="17"/>
        <v>0</v>
      </c>
      <c r="M229" s="31"/>
      <c r="N229" s="32"/>
      <c r="O229" s="32"/>
      <c r="P229" s="32"/>
      <c r="Q229" s="31"/>
      <c r="R229" s="31"/>
      <c r="S229" s="31"/>
      <c r="T229" s="31"/>
      <c r="U229" s="31"/>
      <c r="V229" s="31"/>
      <c r="W229" s="31"/>
      <c r="X229" s="31"/>
      <c r="Y229" s="31"/>
      <c r="Z229" s="31"/>
      <c r="AA229" s="31"/>
      <c r="AB229" s="31"/>
      <c r="AC229" s="31"/>
      <c r="AD229" s="31"/>
      <c r="AE229" s="31"/>
    </row>
    <row r="230" spans="3:47">
      <c r="C230" s="30"/>
      <c r="D230" s="29">
        <v>28</v>
      </c>
      <c r="E230" s="28">
        <f>(AF210-($F$31-AD208)*AF216+($G$31-AF207)*AF215)*$H$31</f>
        <v>0</v>
      </c>
      <c r="F230" s="28">
        <f>(AF211+($E$31-AB208)*AF216-($G$31-AF208)*AF214)*$I$31</f>
        <v>0</v>
      </c>
      <c r="G230" s="28">
        <f>(AF212-($E$31-AB207)*AF215+($F$31-AD207)*AF214)*$J$31</f>
        <v>0</v>
      </c>
      <c r="I230" s="27">
        <f t="shared" si="15"/>
        <v>0</v>
      </c>
      <c r="J230" s="27">
        <f t="shared" si="16"/>
        <v>0</v>
      </c>
      <c r="K230" s="27">
        <f t="shared" si="17"/>
        <v>0</v>
      </c>
    </row>
    <row r="231" spans="3:47">
      <c r="C231" s="30"/>
      <c r="D231" s="29">
        <v>29</v>
      </c>
      <c r="E231" s="28">
        <f>(AF210-($F$32-AD208)*AF216+($G$32-AF207)*AF215)*$H$32</f>
        <v>0</v>
      </c>
      <c r="F231" s="28">
        <f>(AF211+($E$32-AB208)*AF216-($G$32-AF208)*AF214)*$I$32</f>
        <v>0</v>
      </c>
      <c r="G231" s="28">
        <f>(AF212-($E$32-AB207)*AF215+($F$32-AD207)*AF214)*$J$32</f>
        <v>0</v>
      </c>
      <c r="I231" s="27">
        <f t="shared" si="15"/>
        <v>0</v>
      </c>
      <c r="J231" s="27">
        <f t="shared" si="16"/>
        <v>0</v>
      </c>
      <c r="K231" s="27">
        <f t="shared" si="17"/>
        <v>0</v>
      </c>
    </row>
    <row r="233" spans="3:47" ht="15.6">
      <c r="C233" s="52" t="str">
        <f>PURPOSE!C38</f>
        <v>23.562(b)(1)</v>
      </c>
      <c r="D233" s="51"/>
      <c r="E233" s="51"/>
      <c r="F233" s="51"/>
    </row>
    <row r="234" spans="3:47">
      <c r="AK234" s="31"/>
      <c r="AL234" s="45"/>
    </row>
    <row r="235" spans="3:47" ht="33.6">
      <c r="C235" s="49" t="s">
        <v>98</v>
      </c>
      <c r="D235" s="49" t="s">
        <v>97</v>
      </c>
      <c r="E235" s="49" t="s">
        <v>96</v>
      </c>
      <c r="F235" s="49" t="s">
        <v>95</v>
      </c>
      <c r="G235" s="49" t="s">
        <v>94</v>
      </c>
      <c r="H235" s="50"/>
      <c r="I235" s="49" t="s">
        <v>93</v>
      </c>
      <c r="J235" s="49" t="s">
        <v>92</v>
      </c>
      <c r="K235" s="49" t="s">
        <v>91</v>
      </c>
      <c r="M235" s="49" t="s">
        <v>13</v>
      </c>
      <c r="N235" s="49" t="s">
        <v>90</v>
      </c>
      <c r="O235" s="49" t="s">
        <v>89</v>
      </c>
      <c r="P235" s="49" t="s">
        <v>88</v>
      </c>
      <c r="Q235" s="49" t="s">
        <v>87</v>
      </c>
      <c r="R235" s="49" t="s">
        <v>86</v>
      </c>
      <c r="S235" s="49" t="s">
        <v>85</v>
      </c>
      <c r="T235" s="31"/>
      <c r="U235" s="49" t="s">
        <v>84</v>
      </c>
      <c r="V235" s="49" t="s">
        <v>83</v>
      </c>
      <c r="W235" s="49" t="s">
        <v>82</v>
      </c>
      <c r="X235" s="33"/>
      <c r="Y235" s="34" t="s">
        <v>81</v>
      </c>
      <c r="Z235" s="34">
        <v>1</v>
      </c>
      <c r="AA235" s="33" t="s">
        <v>80</v>
      </c>
      <c r="AB235" s="45">
        <f>SUMPRODUCT($J$4:$J$32,$E$4:$E$32,$F$4:$F$32)</f>
        <v>0</v>
      </c>
      <c r="AC235" s="33" t="s">
        <v>79</v>
      </c>
      <c r="AD235" s="45">
        <f>SUMPRODUCT(H202:H230,F202:F230,G202:G230)</f>
        <v>0</v>
      </c>
      <c r="AE235" s="33" t="s">
        <v>78</v>
      </c>
      <c r="AF235" s="45">
        <f>SUMPRODUCT($I$4:$I$32,$E$4:$E$32,$G$4:$G$32)</f>
        <v>0</v>
      </c>
      <c r="AK235" s="31"/>
    </row>
    <row r="236" spans="3:47">
      <c r="C236" s="30" t="s">
        <v>77</v>
      </c>
      <c r="D236" s="39">
        <v>1</v>
      </c>
      <c r="E236" s="43">
        <f>(AF243-($F$4-AD241)*AF249+($G$4-AF240)*AF248)*$H$4</f>
        <v>-676.875</v>
      </c>
      <c r="F236" s="43">
        <f>(AF244+($E$4-AB241)*AF249-($G$4-AF241)*AF247)*$I$4</f>
        <v>0</v>
      </c>
      <c r="G236" s="43">
        <f>(AF245-($E$4-AB240)*AF248+($F$4-AD240)*AF247)*$J$4</f>
        <v>-3341.1948113207545</v>
      </c>
      <c r="H236" s="42"/>
      <c r="I236" s="27">
        <f t="shared" ref="I236:I264" si="18">SQRT(E236^2+F236^2)</f>
        <v>676.875</v>
      </c>
      <c r="J236" s="27">
        <f t="shared" ref="J236:J264" si="19">SQRT(E236^2+G236^2)</f>
        <v>3409.067692613588</v>
      </c>
      <c r="K236" s="27">
        <f t="shared" ref="K236:K264" si="20">SQRT(F236^2+G236^2)</f>
        <v>3341.1948113207545</v>
      </c>
      <c r="M236" s="34">
        <v>1</v>
      </c>
      <c r="N236" s="47">
        <f>N38</f>
        <v>12</v>
      </c>
      <c r="O236" s="47">
        <f>PURPOSE!E25</f>
        <v>0</v>
      </c>
      <c r="P236" s="47">
        <f>P203</f>
        <v>30</v>
      </c>
      <c r="Q236" s="48">
        <f>PURPOSE!E52</f>
        <v>-2707.5</v>
      </c>
      <c r="R236" s="48">
        <f>PURPOSE!F52</f>
        <v>0</v>
      </c>
      <c r="S236" s="48">
        <f>PURPOSE!G52</f>
        <v>-4688.25</v>
      </c>
      <c r="T236" s="31"/>
      <c r="U236" s="34"/>
      <c r="V236" s="34"/>
      <c r="W236" s="34"/>
      <c r="X236" s="33"/>
      <c r="Y236" s="34" t="s">
        <v>76</v>
      </c>
      <c r="Z236" s="34">
        <v>1</v>
      </c>
      <c r="AA236" s="33" t="s">
        <v>75</v>
      </c>
      <c r="AB236" s="45">
        <f>SUMPRODUCT($J$4:$J$32,$E$4:$E$32)</f>
        <v>25.039370078740159</v>
      </c>
      <c r="AC236" s="33" t="s">
        <v>74</v>
      </c>
      <c r="AD236" s="45">
        <f>SUMPRODUCT($J$4:$J$32,$F$4:$F$32)</f>
        <v>0</v>
      </c>
      <c r="AE236" s="33" t="s">
        <v>73</v>
      </c>
      <c r="AF236" s="45">
        <f>SUMPRODUCT($H$4:$H$32,$G$4:$G$32)</f>
        <v>0</v>
      </c>
      <c r="AK236" s="31"/>
    </row>
    <row r="237" spans="3:47">
      <c r="C237" s="30" t="s">
        <v>72</v>
      </c>
      <c r="D237" s="39">
        <v>2</v>
      </c>
      <c r="E237" s="43">
        <f>(AF243-($F$5-AD241)*AF249+($G$5-AF240)*AF248)*$H$5</f>
        <v>-676.875</v>
      </c>
      <c r="F237" s="43">
        <f>(AF244+($E$5-AB241)*AF249-($G$5-AF241)*AF247)*$I$5</f>
        <v>0</v>
      </c>
      <c r="G237" s="43">
        <f>(AF245-($E$5-AB240)*AF248+($F$5-AD240)*AF247)*$J$5</f>
        <v>-3341.1948113207545</v>
      </c>
      <c r="H237" s="42"/>
      <c r="I237" s="27">
        <f t="shared" si="18"/>
        <v>676.875</v>
      </c>
      <c r="J237" s="27">
        <f t="shared" si="19"/>
        <v>3409.067692613588</v>
      </c>
      <c r="K237" s="27">
        <f t="shared" si="20"/>
        <v>3341.1948113207545</v>
      </c>
      <c r="M237" s="34">
        <v>2</v>
      </c>
      <c r="N237" s="47"/>
      <c r="O237" s="47"/>
      <c r="P237" s="47"/>
      <c r="Q237" s="47"/>
      <c r="R237" s="46"/>
      <c r="S237" s="46"/>
      <c r="T237" s="31"/>
      <c r="U237" s="34"/>
      <c r="V237" s="34"/>
      <c r="W237" s="34"/>
      <c r="X237" s="33"/>
      <c r="Y237" s="34" t="s">
        <v>71</v>
      </c>
      <c r="Z237" s="34">
        <v>0</v>
      </c>
      <c r="AA237" s="33" t="s">
        <v>70</v>
      </c>
      <c r="AB237" s="45">
        <f>SUMPRODUCT($I$4:$I$32,$E$4:$E$32)</f>
        <v>25.039370078740159</v>
      </c>
      <c r="AC237" s="33" t="s">
        <v>69</v>
      </c>
      <c r="AD237" s="45">
        <f>SUMPRODUCT($H$4:$H$32,$F$4:$F$32)</f>
        <v>0</v>
      </c>
      <c r="AE237" s="33" t="s">
        <v>68</v>
      </c>
      <c r="AF237" s="45">
        <f>SUMPRODUCT($I$4:$I$32,$G$4:$G$32)</f>
        <v>0</v>
      </c>
      <c r="AK237" s="31"/>
    </row>
    <row r="238" spans="3:47">
      <c r="C238" s="30" t="s">
        <v>67</v>
      </c>
      <c r="D238" s="39">
        <v>3</v>
      </c>
      <c r="E238" s="43">
        <f>(AF243-($F$6-AD241)*AF249+($G$6-AF240)*AF248)*$H$6</f>
        <v>-676.875</v>
      </c>
      <c r="F238" s="43">
        <f>(AF244+($E$6-AB241)*AF249-($G$6-AF241)*AF247)*$I$6</f>
        <v>0</v>
      </c>
      <c r="G238" s="43">
        <f>(AF245-($E$6-AB240)*AF248+($F$6-AD240)*AF247)*$J$6</f>
        <v>997.06981132075452</v>
      </c>
      <c r="H238" s="42"/>
      <c r="I238" s="27">
        <f t="shared" si="18"/>
        <v>676.875</v>
      </c>
      <c r="J238" s="27">
        <f t="shared" si="19"/>
        <v>1205.1174109904002</v>
      </c>
      <c r="K238" s="27">
        <f t="shared" si="20"/>
        <v>997.06981132075452</v>
      </c>
      <c r="M238" s="34">
        <v>3</v>
      </c>
      <c r="N238" s="34"/>
      <c r="O238" s="34"/>
      <c r="P238" s="34"/>
      <c r="Q238" s="34"/>
      <c r="R238" s="34"/>
      <c r="S238" s="34"/>
      <c r="T238" s="31"/>
      <c r="U238" s="34"/>
      <c r="V238" s="34"/>
      <c r="W238" s="34"/>
      <c r="X238" s="33"/>
      <c r="Y238" s="34" t="s">
        <v>66</v>
      </c>
      <c r="Z238" s="34">
        <v>1</v>
      </c>
      <c r="AA238" s="33" t="s">
        <v>65</v>
      </c>
      <c r="AB238" s="45">
        <f>SUMPRODUCT($J$4:$J$32,POWER($E$4:$E$32,2))</f>
        <v>313.48502697005398</v>
      </c>
      <c r="AC238" s="33" t="s">
        <v>64</v>
      </c>
      <c r="AD238" s="45">
        <f>SUMPRODUCT($J$4:$J$32*POWER($F$4:$F$32,2))</f>
        <v>112.995225990452</v>
      </c>
      <c r="AE238" s="33" t="s">
        <v>63</v>
      </c>
      <c r="AF238" s="45">
        <f>SUMPRODUCT($H$4:$H$32,POWER($G$4:$G$32,2))</f>
        <v>0</v>
      </c>
      <c r="AK238" s="31"/>
    </row>
    <row r="239" spans="3:47">
      <c r="C239" s="30" t="s">
        <v>62</v>
      </c>
      <c r="D239" s="39">
        <v>4</v>
      </c>
      <c r="E239" s="43">
        <f>(AF243-($F$7-AD241)*AF249+($G$7-AF240)*AF248)*$H$7</f>
        <v>-676.875</v>
      </c>
      <c r="F239" s="43">
        <f>(AF244+($E$7-AB241)*AF249-($G$7-AF241)*AF247)*$I$7</f>
        <v>0</v>
      </c>
      <c r="G239" s="43">
        <f>(AF245-($E$7-AB240)*AF248+($F$7-AD240)*AF247)*$J$7</f>
        <v>997.06981132075452</v>
      </c>
      <c r="H239" s="42"/>
      <c r="I239" s="27">
        <f t="shared" si="18"/>
        <v>676.875</v>
      </c>
      <c r="J239" s="27">
        <f t="shared" si="19"/>
        <v>1205.1174109904002</v>
      </c>
      <c r="K239" s="27">
        <f t="shared" si="20"/>
        <v>997.06981132075452</v>
      </c>
      <c r="M239" s="34">
        <v>4</v>
      </c>
      <c r="N239" s="34"/>
      <c r="O239" s="34"/>
      <c r="P239" s="34"/>
      <c r="Q239" s="34"/>
      <c r="R239" s="34"/>
      <c r="S239" s="34"/>
      <c r="T239" s="31"/>
      <c r="U239" s="34"/>
      <c r="V239" s="34"/>
      <c r="W239" s="34"/>
      <c r="X239" s="33"/>
      <c r="Y239" s="34" t="s">
        <v>61</v>
      </c>
      <c r="Z239" s="34">
        <v>1</v>
      </c>
      <c r="AA239" s="33" t="s">
        <v>60</v>
      </c>
      <c r="AB239" s="45">
        <f>SUMPRODUCT($I$4:$I$32,POWER($E$4:$E$32,2))</f>
        <v>313.48502697005398</v>
      </c>
      <c r="AC239" s="33" t="s">
        <v>59</v>
      </c>
      <c r="AD239" s="45">
        <f>SUMPRODUCT($H$4:$H$32,POWER($F$4:$F$32,2))</f>
        <v>112.995225990452</v>
      </c>
      <c r="AE239" s="33" t="s">
        <v>58</v>
      </c>
      <c r="AF239" s="45">
        <f>SUMPRODUCT($I$4:$I$32,POWER($G$4:$G$32,2))</f>
        <v>0</v>
      </c>
      <c r="AK239" s="31"/>
    </row>
    <row r="240" spans="3:47">
      <c r="C240" s="30" t="s">
        <v>57</v>
      </c>
      <c r="D240" s="39">
        <v>5</v>
      </c>
      <c r="E240" s="43">
        <f>(AF243-($F$8-AD241)*AF249+($G$8-AF240)*AF248)*$H$8</f>
        <v>0</v>
      </c>
      <c r="F240" s="43">
        <f>(AF244+($E$8-AB241)*AF249-($G$8-AF241)*AF247)*$I$8</f>
        <v>0</v>
      </c>
      <c r="G240" s="43">
        <f>(AF245-($E$8-AB240)*AF248+($F$8-AD240)*AF247)*$J$8</f>
        <v>0</v>
      </c>
      <c r="H240" s="42"/>
      <c r="I240" s="27">
        <f t="shared" si="18"/>
        <v>0</v>
      </c>
      <c r="J240" s="27">
        <f t="shared" si="19"/>
        <v>0</v>
      </c>
      <c r="K240" s="27">
        <f t="shared" si="20"/>
        <v>0</v>
      </c>
      <c r="M240" s="34">
        <v>5</v>
      </c>
      <c r="N240" s="34"/>
      <c r="O240" s="34"/>
      <c r="P240" s="34"/>
      <c r="Q240" s="34"/>
      <c r="R240" s="34"/>
      <c r="S240" s="34"/>
      <c r="T240" s="31"/>
      <c r="U240" s="34"/>
      <c r="V240" s="34"/>
      <c r="W240" s="34"/>
      <c r="X240" s="33"/>
      <c r="Y240" s="34" t="s">
        <v>56</v>
      </c>
      <c r="Z240" s="34">
        <v>0</v>
      </c>
      <c r="AA240" s="33" t="s">
        <v>55</v>
      </c>
      <c r="AB240" s="45">
        <f>IF(Z245=0,0,AB236/Z245)</f>
        <v>6.2598425196850398</v>
      </c>
      <c r="AC240" s="33" t="s">
        <v>54</v>
      </c>
      <c r="AD240" s="45">
        <f>IF(Z245=0,0,AD236/Z245)</f>
        <v>0</v>
      </c>
      <c r="AE240" s="33" t="s">
        <v>53</v>
      </c>
      <c r="AF240" s="45">
        <f>IF(Z243=0,0,AF236/Z243)</f>
        <v>0</v>
      </c>
      <c r="AK240" s="31"/>
    </row>
    <row r="241" spans="3:37">
      <c r="C241" s="30" t="s">
        <v>52</v>
      </c>
      <c r="D241" s="39">
        <v>6</v>
      </c>
      <c r="E241" s="43">
        <f>(AF243-($F$9-AD241)*AF249+($G$9-AF240)*AF248)*$H$9</f>
        <v>0</v>
      </c>
      <c r="F241" s="43">
        <f>(AF244+($E$9-AB241)*AF249-($G$9-AF241)*AF247)*$I$9</f>
        <v>0</v>
      </c>
      <c r="G241" s="43">
        <f>(AF245-($E$9-AB240)*AF248+($F$9-AD240)*AF247)*$J$9</f>
        <v>0</v>
      </c>
      <c r="H241" s="42"/>
      <c r="I241" s="27">
        <f t="shared" si="18"/>
        <v>0</v>
      </c>
      <c r="J241" s="27">
        <f t="shared" si="19"/>
        <v>0</v>
      </c>
      <c r="K241" s="27">
        <f t="shared" si="20"/>
        <v>0</v>
      </c>
      <c r="M241" s="34">
        <v>6</v>
      </c>
      <c r="N241" s="34"/>
      <c r="O241" s="34"/>
      <c r="P241" s="34"/>
      <c r="Q241" s="34"/>
      <c r="R241" s="34"/>
      <c r="S241" s="34"/>
      <c r="T241" s="31"/>
      <c r="U241" s="34"/>
      <c r="V241" s="34"/>
      <c r="W241" s="34"/>
      <c r="X241" s="33"/>
      <c r="Y241" s="34" t="s">
        <v>12</v>
      </c>
      <c r="Z241" s="34"/>
      <c r="AA241" s="33" t="s">
        <v>51</v>
      </c>
      <c r="AB241" s="45">
        <f>IF(Z244=0,0,AB237/Z244)</f>
        <v>6.2598425196850398</v>
      </c>
      <c r="AC241" s="33" t="s">
        <v>50</v>
      </c>
      <c r="AD241" s="45">
        <f>IF(Z243=0,0,AD237/Z243)</f>
        <v>0</v>
      </c>
      <c r="AE241" s="33" t="s">
        <v>49</v>
      </c>
      <c r="AF241" s="45">
        <f>IF(Z244=0,0,AF237/Z244)</f>
        <v>0</v>
      </c>
      <c r="AK241" s="31"/>
    </row>
    <row r="242" spans="3:37">
      <c r="C242" s="30" t="s">
        <v>48</v>
      </c>
      <c r="D242" s="39">
        <v>7</v>
      </c>
      <c r="E242" s="43">
        <f>(AF243-($F$10-AD241)*AF249+($G$10-AF240)*AF248)*$H$10</f>
        <v>0</v>
      </c>
      <c r="F242" s="43">
        <f>(AF244+($E$10-AB241)*AF249-($G$10-AF241)*AF247)*$I$10</f>
        <v>0</v>
      </c>
      <c r="G242" s="43">
        <f>(AF245-($E$10-AB240)*AF248+($F$10-AD240)*AF247)*$J$10</f>
        <v>0</v>
      </c>
      <c r="H242" s="42"/>
      <c r="I242" s="27">
        <f t="shared" si="18"/>
        <v>0</v>
      </c>
      <c r="J242" s="27">
        <f t="shared" si="19"/>
        <v>0</v>
      </c>
      <c r="K242" s="27">
        <f t="shared" si="20"/>
        <v>0</v>
      </c>
      <c r="M242" s="34">
        <v>7</v>
      </c>
      <c r="N242" s="34"/>
      <c r="O242" s="34"/>
      <c r="P242" s="34"/>
      <c r="Q242" s="34"/>
      <c r="R242" s="34"/>
      <c r="S242" s="34"/>
      <c r="T242" s="31"/>
      <c r="U242" s="34"/>
      <c r="V242" s="34"/>
      <c r="W242" s="34"/>
      <c r="X242" s="33"/>
      <c r="Y242" s="34" t="s">
        <v>47</v>
      </c>
      <c r="Z242" s="34"/>
      <c r="AK242" s="31"/>
    </row>
    <row r="243" spans="3:37">
      <c r="C243" s="30" t="s">
        <v>46</v>
      </c>
      <c r="D243" s="39">
        <v>8</v>
      </c>
      <c r="E243" s="43">
        <f>(AF243-($F$11-AD241)*AF249+($G$11-AF240)*AF248)*$H$11</f>
        <v>0</v>
      </c>
      <c r="F243" s="43">
        <f>(AF244+($E$11-AB241)*AF249-($G$11-AF241)*AF247)*$I$11</f>
        <v>0</v>
      </c>
      <c r="G243" s="43">
        <f>(AF245-($E$11-AB240)*AF248+($F$11-AD240)*AF247)*$J$11</f>
        <v>0</v>
      </c>
      <c r="H243" s="42"/>
      <c r="I243" s="27">
        <f t="shared" si="18"/>
        <v>0</v>
      </c>
      <c r="J243" s="27">
        <f t="shared" si="19"/>
        <v>0</v>
      </c>
      <c r="K243" s="27">
        <f t="shared" si="20"/>
        <v>0</v>
      </c>
      <c r="M243" s="34">
        <v>8</v>
      </c>
      <c r="N243" s="34"/>
      <c r="O243" s="34"/>
      <c r="P243" s="34"/>
      <c r="Q243" s="34"/>
      <c r="R243" s="34"/>
      <c r="S243" s="34"/>
      <c r="T243" s="31"/>
      <c r="U243" s="34"/>
      <c r="V243" s="34"/>
      <c r="W243" s="34"/>
      <c r="X243" s="33"/>
      <c r="Y243" s="34" t="s">
        <v>45</v>
      </c>
      <c r="Z243" s="34">
        <f>SUM($H$4:$H$32)</f>
        <v>4</v>
      </c>
      <c r="AA243" s="33" t="s">
        <v>44</v>
      </c>
      <c r="AB243" s="44">
        <f>SUM(Q236:Q260)</f>
        <v>-2707.5</v>
      </c>
      <c r="AC243" s="33" t="s">
        <v>43</v>
      </c>
      <c r="AD243" s="33">
        <f>SUM(U236:U260,SUMPRODUCT(S236:S260,(O236:O260-AD240)),-SUMPRODUCT(R236:R260,(P236:P260-AF241)))</f>
        <v>0</v>
      </c>
      <c r="AE243" s="26" t="s">
        <v>42</v>
      </c>
      <c r="AF243" s="26">
        <f>IF(Z243=0,0,AB243/Z243)</f>
        <v>-676.875</v>
      </c>
      <c r="AK243" s="31"/>
    </row>
    <row r="244" spans="3:37">
      <c r="C244" s="30" t="s">
        <v>41</v>
      </c>
      <c r="D244" s="39">
        <v>9</v>
      </c>
      <c r="E244" s="43">
        <f>(AF243-($F$12-AD241)*AF249+($G$12-AF240)*AF248)*$H$12</f>
        <v>0</v>
      </c>
      <c r="F244" s="43">
        <f>(AF244+($E$12-AB241)*AF249-($G$12-AF241)*AF247)*$I$12</f>
        <v>0</v>
      </c>
      <c r="G244" s="43">
        <f>(AF245-($E$12-AB240)*AF248+($F$12-AD240)*AF247)*$J$12</f>
        <v>0</v>
      </c>
      <c r="H244" s="42"/>
      <c r="I244" s="27">
        <f t="shared" si="18"/>
        <v>0</v>
      </c>
      <c r="J244" s="27">
        <f t="shared" si="19"/>
        <v>0</v>
      </c>
      <c r="K244" s="27">
        <f t="shared" si="20"/>
        <v>0</v>
      </c>
      <c r="M244" s="34">
        <v>9</v>
      </c>
      <c r="N244" s="34"/>
      <c r="O244" s="34"/>
      <c r="P244" s="34"/>
      <c r="Q244" s="34"/>
      <c r="R244" s="34"/>
      <c r="S244" s="34"/>
      <c r="T244" s="31"/>
      <c r="U244" s="34"/>
      <c r="V244" s="34"/>
      <c r="W244" s="34"/>
      <c r="X244" s="33"/>
      <c r="Y244" s="34" t="s">
        <v>40</v>
      </c>
      <c r="Z244" s="34">
        <f>SUM($I$4:$I$32)</f>
        <v>4</v>
      </c>
      <c r="AA244" s="33" t="s">
        <v>39</v>
      </c>
      <c r="AB244" s="33">
        <f>SUM(R236:R260)</f>
        <v>0</v>
      </c>
      <c r="AC244" s="33" t="s">
        <v>38</v>
      </c>
      <c r="AD244" s="33">
        <f>SUM(V236:V260,SUMPRODUCT(Q236:Q260,(P236:P260-AF240)),-SUMPRODUCT(S236:S260,(N236:N260-AB240)))</f>
        <v>-54313.706692913387</v>
      </c>
      <c r="AE244" s="26" t="s">
        <v>37</v>
      </c>
      <c r="AF244" s="26">
        <f>IF(Z244=0,0,AB244/Z244)</f>
        <v>0</v>
      </c>
      <c r="AK244" s="31"/>
    </row>
    <row r="245" spans="3:37">
      <c r="C245" s="30"/>
      <c r="D245" s="39">
        <v>10</v>
      </c>
      <c r="E245" s="43">
        <f>(AF243-($F$13-AD241)*AF249+($G$13-AF240)*AF248)*$H$13</f>
        <v>0</v>
      </c>
      <c r="F245" s="43">
        <f>(AF244+($E$13-AB241)*AF249-($G$13-AF241)*AF247)*$I$13</f>
        <v>0</v>
      </c>
      <c r="G245" s="43">
        <f>(AF245-($E$13-AB240)*AF248+($F$13-AD240)*AF247)*$J$13</f>
        <v>0</v>
      </c>
      <c r="H245" s="42"/>
      <c r="I245" s="27">
        <f t="shared" si="18"/>
        <v>0</v>
      </c>
      <c r="J245" s="27">
        <f t="shared" si="19"/>
        <v>0</v>
      </c>
      <c r="K245" s="27">
        <f t="shared" si="20"/>
        <v>0</v>
      </c>
      <c r="M245" s="34">
        <v>10</v>
      </c>
      <c r="N245" s="34"/>
      <c r="O245" s="34"/>
      <c r="P245" s="34"/>
      <c r="Q245" s="34"/>
      <c r="R245" s="34"/>
      <c r="S245" s="34"/>
      <c r="T245" s="31"/>
      <c r="U245" s="34"/>
      <c r="V245" s="34"/>
      <c r="W245" s="34"/>
      <c r="X245" s="33"/>
      <c r="Y245" s="34" t="s">
        <v>36</v>
      </c>
      <c r="Z245" s="34">
        <f>SUM($J$4:$J$32)</f>
        <v>4</v>
      </c>
      <c r="AA245" s="33" t="s">
        <v>35</v>
      </c>
      <c r="AB245" s="33">
        <f>SUM(S236:S260)</f>
        <v>-4688.25</v>
      </c>
      <c r="AC245" s="33" t="s">
        <v>34</v>
      </c>
      <c r="AD245" s="33">
        <f>SUM(W236:W260,SUMPRODUCT(R236:R260,(N236:N260-AB241)),-SUMPRODUCT(Q236:Q260,(O236:O260-AD241)))</f>
        <v>0</v>
      </c>
      <c r="AE245" s="26" t="s">
        <v>33</v>
      </c>
      <c r="AF245" s="26">
        <f>IF(Z245=0,0,AB245/Z245)</f>
        <v>-1172.0625</v>
      </c>
      <c r="AK245" s="31"/>
    </row>
    <row r="246" spans="3:37">
      <c r="C246" s="30"/>
      <c r="D246" s="39">
        <v>11</v>
      </c>
      <c r="E246" s="43">
        <f>(AF243-($F$14-AD241)*AF249+($G$14-AF240)*AF248)*$H$14</f>
        <v>0</v>
      </c>
      <c r="F246" s="43">
        <f>(AF244+($E$14-AB241)*AF249-($G$14-AF241)*AF247)*$I$14</f>
        <v>0</v>
      </c>
      <c r="G246" s="43">
        <f>(AF245-($E$14-AB240)*AF248+($F$14-AD240)*AF247)*$J$14</f>
        <v>0</v>
      </c>
      <c r="H246" s="42"/>
      <c r="I246" s="27">
        <f t="shared" si="18"/>
        <v>0</v>
      </c>
      <c r="J246" s="27">
        <f t="shared" si="19"/>
        <v>0</v>
      </c>
      <c r="K246" s="27">
        <f t="shared" si="20"/>
        <v>0</v>
      </c>
      <c r="M246" s="34">
        <v>11</v>
      </c>
      <c r="N246" s="34"/>
      <c r="O246" s="34"/>
      <c r="P246" s="34"/>
      <c r="Q246" s="34"/>
      <c r="R246" s="34"/>
      <c r="S246" s="34"/>
      <c r="T246" s="31"/>
      <c r="U246" s="34"/>
      <c r="V246" s="34"/>
      <c r="W246" s="34"/>
      <c r="X246" s="33"/>
      <c r="AK246" s="31"/>
    </row>
    <row r="247" spans="3:37">
      <c r="C247" s="30"/>
      <c r="D247" s="39">
        <v>12</v>
      </c>
      <c r="E247" s="28">
        <f>(AF243-($F$15-AD241)*AF249+($G$15-AF240)*AF248)*$H$15</f>
        <v>0</v>
      </c>
      <c r="F247" s="28">
        <f>(AF244+($E$15-AB241)*AF249-($G$15-AF241)*AF247)*$I$15</f>
        <v>0</v>
      </c>
      <c r="G247" s="28">
        <f>(AF245-($E$15-AB240)*AF248+($F$15-AD240)*AF247)*$J$15</f>
        <v>0</v>
      </c>
      <c r="I247" s="27">
        <f t="shared" si="18"/>
        <v>0</v>
      </c>
      <c r="J247" s="27">
        <f t="shared" si="19"/>
        <v>0</v>
      </c>
      <c r="K247" s="27">
        <f t="shared" si="20"/>
        <v>0</v>
      </c>
      <c r="M247" s="34">
        <v>12</v>
      </c>
      <c r="N247" s="34"/>
      <c r="O247" s="34"/>
      <c r="P247" s="34"/>
      <c r="Q247" s="34"/>
      <c r="R247" s="34"/>
      <c r="S247" s="34"/>
      <c r="T247" s="31"/>
      <c r="U247" s="34"/>
      <c r="V247" s="34"/>
      <c r="W247" s="34"/>
      <c r="X247" s="33"/>
      <c r="Y247" s="36">
        <v>1</v>
      </c>
      <c r="Z247" s="38">
        <f>AF239+AD238-Z245*AD240^2-Z244*AF241^2</f>
        <v>112.995225990452</v>
      </c>
      <c r="AA247" s="35">
        <v>1</v>
      </c>
      <c r="AB247" s="26">
        <f>Z249*Z248^2-Z248*Z251^2</f>
        <v>6626974.9209806556</v>
      </c>
      <c r="AC247" s="37">
        <v>1</v>
      </c>
      <c r="AD247" s="26">
        <f>Z249*Z248-Z251^2</f>
        <v>42279.371267155962</v>
      </c>
      <c r="AE247" s="40">
        <v>1</v>
      </c>
      <c r="AF247" s="26">
        <f>IF(Z247=0,0,IF(Z248=0,AD243/Z249,IF(Z249=0,AD243/Z248,(AD243*AB247+AD244*AB248+AD245*AB249)/(AD247*AD248-AD249))))</f>
        <v>0</v>
      </c>
      <c r="AK247" s="31"/>
    </row>
    <row r="248" spans="3:37">
      <c r="C248" s="30"/>
      <c r="D248" s="39">
        <v>13</v>
      </c>
      <c r="E248" s="28">
        <f>(AF243-($F$16-AD241)*AF249+($G$16-AF240)*AF248)*$H$16</f>
        <v>0</v>
      </c>
      <c r="F248" s="28">
        <f>(AF244+($E$16-AB241)*AF249-($G$16-AF241)*AF247)*$I$16</f>
        <v>0</v>
      </c>
      <c r="G248" s="28">
        <f>(AF245-($E$16-AB240)*AF248+($F$16-AD240)*AF247)*$J$16</f>
        <v>0</v>
      </c>
      <c r="I248" s="27">
        <f t="shared" si="18"/>
        <v>0</v>
      </c>
      <c r="J248" s="27">
        <f t="shared" si="19"/>
        <v>0</v>
      </c>
      <c r="K248" s="27">
        <f t="shared" si="20"/>
        <v>0</v>
      </c>
      <c r="M248" s="34">
        <v>13</v>
      </c>
      <c r="N248" s="34"/>
      <c r="O248" s="34"/>
      <c r="P248" s="34"/>
      <c r="Q248" s="34"/>
      <c r="R248" s="34"/>
      <c r="S248" s="34"/>
      <c r="T248" s="31"/>
      <c r="U248" s="34"/>
      <c r="V248" s="34"/>
      <c r="W248" s="34"/>
      <c r="X248" s="33"/>
      <c r="Y248" s="36">
        <v>2</v>
      </c>
      <c r="Z248" s="38">
        <f>AF238+AB238-Z245*AB240^2-Z243*AF240^2</f>
        <v>156.74251348502699</v>
      </c>
      <c r="AA248" s="35">
        <v>2</v>
      </c>
      <c r="AB248" s="41">
        <f>Z248*Z249*Z250+Z248*Z251*Z252</f>
        <v>0</v>
      </c>
      <c r="AC248" s="37">
        <v>2</v>
      </c>
      <c r="AD248" s="26">
        <f>Z247*Z248-Z250^2</f>
        <v>17711.155733552096</v>
      </c>
      <c r="AE248" s="40">
        <v>2</v>
      </c>
      <c r="AF248" s="26">
        <f>IF(Z247=0,AD244/Z249,IF(Z248=0,0,IF(Z249=0,AD244/Z247,(AD244*AB250+AD243*AB251+AD245*AB252)/(AD250*AD248-AD252))))</f>
        <v>-346.51547614809539</v>
      </c>
      <c r="AK248" s="31"/>
    </row>
    <row r="249" spans="3:37">
      <c r="C249" s="30"/>
      <c r="D249" s="39">
        <v>14</v>
      </c>
      <c r="E249" s="28">
        <f>(AF243-($F$17-AD241)*AF249+($G$17-AF240)*AF248)*$H$17</f>
        <v>0</v>
      </c>
      <c r="F249" s="28">
        <f>(AF244+($E$17-AB241)*AF249-($G$17-AF241)*AF247)*$I$17</f>
        <v>0</v>
      </c>
      <c r="G249" s="28">
        <f>(AF245-($E$17-AB240)*AF248+($F$17-AD240)*AF247)*$J$17</f>
        <v>0</v>
      </c>
      <c r="I249" s="27">
        <f t="shared" si="18"/>
        <v>0</v>
      </c>
      <c r="J249" s="27">
        <f t="shared" si="19"/>
        <v>0</v>
      </c>
      <c r="K249" s="27">
        <f t="shared" si="20"/>
        <v>0</v>
      </c>
      <c r="M249" s="34">
        <v>14</v>
      </c>
      <c r="N249" s="34"/>
      <c r="O249" s="34"/>
      <c r="P249" s="34"/>
      <c r="Q249" s="34"/>
      <c r="R249" s="34"/>
      <c r="S249" s="34"/>
      <c r="T249" s="31"/>
      <c r="U249" s="34"/>
      <c r="V249" s="34"/>
      <c r="W249" s="34"/>
      <c r="X249" s="33"/>
      <c r="Y249" s="36">
        <v>3</v>
      </c>
      <c r="Z249" s="38">
        <f>AD239+AB239-Z244*AB241^2-Z243*AD241^2</f>
        <v>269.73773947547897</v>
      </c>
      <c r="AA249" s="35">
        <v>3</v>
      </c>
      <c r="AB249" s="26">
        <f>Z252*Z248^2+Z248*Z250*Z251</f>
        <v>0</v>
      </c>
      <c r="AC249" s="37">
        <v>3</v>
      </c>
      <c r="AD249" s="26">
        <f>(Z248*Z252+Z250*Z251)^2</f>
        <v>0</v>
      </c>
      <c r="AE249" s="40">
        <v>3</v>
      </c>
      <c r="AF249" s="38">
        <f>IF(Z247=0,AD245/Z248,IF(Z248=0,AD245/Z247,IF(Z249=0,0,(AD245*AB253+AD243*AB254+AD244*AB252)/(AD248*AD250-AD252))))</f>
        <v>0</v>
      </c>
    </row>
    <row r="250" spans="3:37">
      <c r="C250" s="30"/>
      <c r="D250" s="39">
        <v>15</v>
      </c>
      <c r="E250" s="28">
        <f>(AF243-($F$18-AD241)*AF249+($G$18-AF240)*AF248)*$H$18</f>
        <v>0</v>
      </c>
      <c r="F250" s="28">
        <f>(AF244+($E$18-AB241)*AF249-($G$18-AF241)*AF247)*$I$18</f>
        <v>0</v>
      </c>
      <c r="G250" s="28">
        <f>(AF245-($E$18-AB240)*AF248+($F$18-AD240)*AF247)*$J$18</f>
        <v>0</v>
      </c>
      <c r="I250" s="27">
        <f t="shared" si="18"/>
        <v>0</v>
      </c>
      <c r="J250" s="27">
        <f t="shared" si="19"/>
        <v>0</v>
      </c>
      <c r="K250" s="27">
        <f t="shared" si="20"/>
        <v>0</v>
      </c>
      <c r="M250" s="34">
        <v>15</v>
      </c>
      <c r="N250" s="34"/>
      <c r="O250" s="34"/>
      <c r="P250" s="34"/>
      <c r="Q250" s="34"/>
      <c r="R250" s="34"/>
      <c r="S250" s="34"/>
      <c r="T250" s="31"/>
      <c r="U250" s="34"/>
      <c r="V250" s="34"/>
      <c r="W250" s="34"/>
      <c r="X250" s="33"/>
      <c r="Y250" s="36">
        <v>4</v>
      </c>
      <c r="Z250" s="38">
        <f>AB235-AD240*AB240*Z245</f>
        <v>0</v>
      </c>
      <c r="AA250" s="35">
        <v>4</v>
      </c>
      <c r="AB250" s="26">
        <f>Z249*Z247^2-Z247*Z252^2</f>
        <v>3443990.1744071501</v>
      </c>
      <c r="AC250" s="37">
        <v>4</v>
      </c>
      <c r="AD250" s="26">
        <f>Z249*Z247-Z252^2</f>
        <v>30479.076830185411</v>
      </c>
    </row>
    <row r="251" spans="3:37">
      <c r="C251" s="30"/>
      <c r="D251" s="29">
        <v>16</v>
      </c>
      <c r="E251" s="28">
        <f>(AF243-($F$19-AD241)*AF249+($G$19-AF240)*AF248)*$H$19</f>
        <v>0</v>
      </c>
      <c r="F251" s="28">
        <f>(AF244+($E$19-AB241)*AF249-($G$19-AF241)*AF247)*$I$19</f>
        <v>0</v>
      </c>
      <c r="G251" s="28">
        <f>(AF245-($E$19-AB240)*AF248+($F$19-AD240)*AF247)*$J$19</f>
        <v>0</v>
      </c>
      <c r="I251" s="27">
        <f t="shared" si="18"/>
        <v>0</v>
      </c>
      <c r="J251" s="27">
        <f t="shared" si="19"/>
        <v>0</v>
      </c>
      <c r="K251" s="27">
        <f t="shared" si="20"/>
        <v>0</v>
      </c>
      <c r="M251" s="34">
        <v>16</v>
      </c>
      <c r="N251" s="34"/>
      <c r="O251" s="34"/>
      <c r="P251" s="34"/>
      <c r="Q251" s="34"/>
      <c r="R251" s="34"/>
      <c r="S251" s="34"/>
      <c r="T251" s="31"/>
      <c r="U251" s="34"/>
      <c r="V251" s="34"/>
      <c r="W251" s="34"/>
      <c r="X251" s="33"/>
      <c r="Y251" s="36">
        <v>5</v>
      </c>
      <c r="Z251" s="38">
        <f>AD235-AD241*AF240*Z243</f>
        <v>0</v>
      </c>
      <c r="AA251" s="35">
        <v>5</v>
      </c>
      <c r="AB251" s="26">
        <f>Z247*Z249*Z250+Z247*Z251*Z252</f>
        <v>0</v>
      </c>
      <c r="AC251" s="37"/>
    </row>
    <row r="252" spans="3:37">
      <c r="C252" s="30"/>
      <c r="D252" s="29">
        <v>17</v>
      </c>
      <c r="E252" s="28">
        <f>(AF243-($F$20-AD241)*AF249+($G$20-AF240)*AF248)*$H$20</f>
        <v>0</v>
      </c>
      <c r="F252" s="28">
        <f>(AF244+($E$20-AB241)*AF249-($G$20-AF241)*AF247)*$I$20</f>
        <v>0</v>
      </c>
      <c r="G252" s="28">
        <f>(AF245-($E$20-AB240)*AF248+($F$20-AD240)*AF247)*$J$20</f>
        <v>0</v>
      </c>
      <c r="I252" s="27">
        <f t="shared" si="18"/>
        <v>0</v>
      </c>
      <c r="J252" s="27">
        <f t="shared" si="19"/>
        <v>0</v>
      </c>
      <c r="K252" s="27">
        <f t="shared" si="20"/>
        <v>0</v>
      </c>
      <c r="M252" s="34">
        <v>17</v>
      </c>
      <c r="N252" s="34"/>
      <c r="O252" s="34"/>
      <c r="P252" s="34"/>
      <c r="Q252" s="34"/>
      <c r="R252" s="34"/>
      <c r="S252" s="34"/>
      <c r="T252" s="31"/>
      <c r="U252" s="34"/>
      <c r="V252" s="34"/>
      <c r="W252" s="34"/>
      <c r="X252" s="33"/>
      <c r="Y252" s="36">
        <v>6</v>
      </c>
      <c r="Z252" s="38">
        <f>AF235-AB241*AF241*Z244</f>
        <v>0</v>
      </c>
      <c r="AA252" s="35">
        <v>6</v>
      </c>
      <c r="AB252" s="26">
        <f>Z251*Z247^2+Z247*Z250*Z252</f>
        <v>0</v>
      </c>
      <c r="AC252" s="37">
        <v>6</v>
      </c>
      <c r="AD252" s="26">
        <f>(Z247*Z251+Z250*Z252)^2</f>
        <v>0</v>
      </c>
    </row>
    <row r="253" spans="3:37">
      <c r="C253" s="30"/>
      <c r="D253" s="29">
        <v>18</v>
      </c>
      <c r="E253" s="28">
        <f>(AF243-($F$21-AD241)*AF249+($G$21-AF240)*AF248)*$H$21</f>
        <v>0</v>
      </c>
      <c r="F253" s="28">
        <f>(AF244+($E$21-AB241)*AF249-($G$21-AF241)*AF247)*$I$21</f>
        <v>0</v>
      </c>
      <c r="G253" s="28">
        <f>(AF245-($E$21-AB240)*AF248+($F$21-AD240)*AF247)*$J$21</f>
        <v>0</v>
      </c>
      <c r="I253" s="27">
        <f t="shared" si="18"/>
        <v>0</v>
      </c>
      <c r="J253" s="27">
        <f t="shared" si="19"/>
        <v>0</v>
      </c>
      <c r="K253" s="27">
        <f t="shared" si="20"/>
        <v>0</v>
      </c>
      <c r="M253" s="34">
        <v>18</v>
      </c>
      <c r="N253" s="34"/>
      <c r="O253" s="34"/>
      <c r="P253" s="34"/>
      <c r="Q253" s="34"/>
      <c r="R253" s="34"/>
      <c r="S253" s="34"/>
      <c r="T253" s="31"/>
      <c r="U253" s="34"/>
      <c r="V253" s="34"/>
      <c r="W253" s="34"/>
      <c r="X253" s="33"/>
      <c r="Y253" s="36"/>
      <c r="AA253" s="35">
        <v>7</v>
      </c>
      <c r="AB253" s="26">
        <f>Z248*Z247^2-Z247*Z250^2</f>
        <v>2001276.0446648085</v>
      </c>
    </row>
    <row r="254" spans="3:37">
      <c r="C254" s="30"/>
      <c r="D254" s="29">
        <v>19</v>
      </c>
      <c r="E254" s="28">
        <f>(AF243-($F$22-AD241)*AF249+($G$22-AF240)*AF248)*$H$22</f>
        <v>0</v>
      </c>
      <c r="F254" s="28">
        <f>(AF244+($E$22-AB241)*AF249-($G$22-AF241)*AF247)*$I$22</f>
        <v>0</v>
      </c>
      <c r="G254" s="28">
        <f>(AF245-($E$22-AB240)*AF248+($F$22-AD240)*AF247)*$J$22</f>
        <v>0</v>
      </c>
      <c r="I254" s="27">
        <f t="shared" si="18"/>
        <v>0</v>
      </c>
      <c r="J254" s="27">
        <f t="shared" si="19"/>
        <v>0</v>
      </c>
      <c r="K254" s="27">
        <f t="shared" si="20"/>
        <v>0</v>
      </c>
      <c r="M254" s="34">
        <v>19</v>
      </c>
      <c r="N254" s="34"/>
      <c r="O254" s="34"/>
      <c r="P254" s="34"/>
      <c r="Q254" s="34"/>
      <c r="R254" s="34"/>
      <c r="S254" s="34"/>
      <c r="T254" s="31"/>
      <c r="U254" s="34"/>
      <c r="V254" s="34"/>
      <c r="W254" s="34"/>
      <c r="X254" s="33"/>
      <c r="AA254" s="35">
        <v>8</v>
      </c>
      <c r="AB254" s="26">
        <f>Z247*Z248*Z252+Z247*Z251*Z250</f>
        <v>0</v>
      </c>
    </row>
    <row r="255" spans="3:37">
      <c r="C255" s="30"/>
      <c r="D255" s="29">
        <v>20</v>
      </c>
      <c r="E255" s="28">
        <f>(AF243-($F$23-AD241)*AF249+($G$23-AF240)*AF248)*$H$23</f>
        <v>0</v>
      </c>
      <c r="F255" s="28">
        <f>(AF244+($E$23-AB241)*AF249-($G$23-AF241)*AF247)*$I$23</f>
        <v>0</v>
      </c>
      <c r="G255" s="28">
        <f>(AF245-($E$23-AB240)*AF248+($F$23-AD240)*AF247)*$J$23</f>
        <v>0</v>
      </c>
      <c r="I255" s="27">
        <f t="shared" si="18"/>
        <v>0</v>
      </c>
      <c r="J255" s="27">
        <f t="shared" si="19"/>
        <v>0</v>
      </c>
      <c r="K255" s="27">
        <f t="shared" si="20"/>
        <v>0</v>
      </c>
      <c r="M255" s="34">
        <v>20</v>
      </c>
      <c r="N255" s="34"/>
      <c r="O255" s="34"/>
      <c r="P255" s="34"/>
      <c r="Q255" s="34"/>
      <c r="R255" s="34"/>
      <c r="S255" s="34"/>
      <c r="T255" s="31"/>
      <c r="U255" s="34"/>
      <c r="V255" s="34"/>
      <c r="W255" s="34"/>
      <c r="X255" s="33"/>
      <c r="Y255" s="33"/>
      <c r="Z255" s="33"/>
      <c r="AA255" s="33"/>
      <c r="AB255" s="33"/>
      <c r="AC255" s="33"/>
      <c r="AD255" s="33"/>
    </row>
    <row r="256" spans="3:37">
      <c r="C256" s="30"/>
      <c r="D256" s="29">
        <v>21</v>
      </c>
      <c r="E256" s="28">
        <f>(AF243-($F$24-AD241)*AF249+($G$24-AF240)*AF248)*$H$24</f>
        <v>0</v>
      </c>
      <c r="F256" s="28">
        <f>(AF244+($E$24-AB241)*AF249-($G$24-AF241)*AF247)*$I$24</f>
        <v>0</v>
      </c>
      <c r="G256" s="28">
        <f>(AF245-($E$24-AB240)*AF248+($F$24-AD240)*AF247)*$J$24</f>
        <v>0</v>
      </c>
      <c r="I256" s="27">
        <f t="shared" si="18"/>
        <v>0</v>
      </c>
      <c r="J256" s="27">
        <f t="shared" si="19"/>
        <v>0</v>
      </c>
      <c r="K256" s="27">
        <f t="shared" si="20"/>
        <v>0</v>
      </c>
      <c r="M256" s="34">
        <v>21</v>
      </c>
      <c r="N256" s="34"/>
      <c r="O256" s="34"/>
      <c r="P256" s="34"/>
      <c r="Q256" s="34"/>
      <c r="R256" s="34"/>
      <c r="S256" s="34"/>
      <c r="T256" s="31"/>
      <c r="U256" s="34"/>
      <c r="V256" s="34"/>
      <c r="W256" s="34"/>
      <c r="X256" s="33"/>
      <c r="Y256" s="33"/>
      <c r="Z256" s="33"/>
      <c r="AA256" s="33"/>
      <c r="AB256" s="33"/>
      <c r="AC256" s="33"/>
      <c r="AD256" s="33"/>
    </row>
    <row r="257" spans="3:47">
      <c r="C257" s="30"/>
      <c r="D257" s="29">
        <v>22</v>
      </c>
      <c r="E257" s="28">
        <f>(AF243-($F$25-AD241)*AF249+($G$25-AF240)*AF248)*$H$25</f>
        <v>0</v>
      </c>
      <c r="F257" s="28">
        <f>(AF244+($E$25-AB241)*AF249-($G$25-AF241)*AF247)*$I$25</f>
        <v>0</v>
      </c>
      <c r="G257" s="28">
        <f>(AF245-($E$25-AB240)*AF248+($F$25-AD240)*AF247)*$J$25</f>
        <v>0</v>
      </c>
      <c r="I257" s="27">
        <f t="shared" si="18"/>
        <v>0</v>
      </c>
      <c r="J257" s="27">
        <f t="shared" si="19"/>
        <v>0</v>
      </c>
      <c r="K257" s="27">
        <f t="shared" si="20"/>
        <v>0</v>
      </c>
      <c r="M257" s="34">
        <v>22</v>
      </c>
      <c r="N257" s="34"/>
      <c r="O257" s="34"/>
      <c r="P257" s="34"/>
      <c r="Q257" s="34"/>
      <c r="R257" s="34"/>
      <c r="S257" s="34"/>
      <c r="T257" s="31"/>
      <c r="U257" s="34"/>
      <c r="V257" s="34"/>
      <c r="W257" s="34"/>
      <c r="X257" s="33"/>
      <c r="Y257" s="33"/>
      <c r="Z257" s="33"/>
      <c r="AA257" s="33"/>
      <c r="AB257" s="33"/>
      <c r="AC257" s="33"/>
      <c r="AD257" s="33"/>
    </row>
    <row r="258" spans="3:47">
      <c r="C258" s="30"/>
      <c r="D258" s="29">
        <v>23</v>
      </c>
      <c r="E258" s="28">
        <f>(AF243-($F$26-AD241)*AF249+($G$26-AF240)*AF248)*$H$26</f>
        <v>0</v>
      </c>
      <c r="F258" s="28">
        <f>(AF244+($E$26-AB241)*AF249-($G$26-AF241)*AF247)*$I$26</f>
        <v>0</v>
      </c>
      <c r="G258" s="28">
        <f>(AF245-($E$26-AB240)*AF248+($F$26-AD240)*AF247)*$J$26</f>
        <v>0</v>
      </c>
      <c r="I258" s="27">
        <f t="shared" si="18"/>
        <v>0</v>
      </c>
      <c r="J258" s="27">
        <f t="shared" si="19"/>
        <v>0</v>
      </c>
      <c r="K258" s="27">
        <f t="shared" si="20"/>
        <v>0</v>
      </c>
      <c r="M258" s="34">
        <v>23</v>
      </c>
      <c r="N258" s="34"/>
      <c r="O258" s="34"/>
      <c r="P258" s="34"/>
      <c r="Q258" s="34"/>
      <c r="R258" s="34"/>
      <c r="S258" s="34"/>
      <c r="T258" s="31"/>
      <c r="U258" s="34"/>
      <c r="V258" s="34"/>
      <c r="W258" s="34"/>
      <c r="X258" s="33"/>
      <c r="Y258" s="33"/>
      <c r="Z258" s="33"/>
      <c r="AA258" s="33"/>
      <c r="AB258" s="33"/>
      <c r="AC258" s="33"/>
      <c r="AD258" s="33"/>
    </row>
    <row r="259" spans="3:47">
      <c r="C259" s="30"/>
      <c r="D259" s="29">
        <v>24</v>
      </c>
      <c r="E259" s="28">
        <f>(AF243-($F$27-AD241)*AF249+($G$27-AF240)*AF248)*$H$27</f>
        <v>0</v>
      </c>
      <c r="F259" s="28">
        <f>(AF244+($E$27-AB241)*AF249-($G$27-AF241)*AF247)*$I$27</f>
        <v>0</v>
      </c>
      <c r="G259" s="28">
        <f>(AF245-($E$27-AB240)*AF248+($F$27-AD240)*AF247)*$J$27</f>
        <v>0</v>
      </c>
      <c r="I259" s="27">
        <f t="shared" si="18"/>
        <v>0</v>
      </c>
      <c r="J259" s="27">
        <f t="shared" si="19"/>
        <v>0</v>
      </c>
      <c r="K259" s="27">
        <f t="shared" si="20"/>
        <v>0</v>
      </c>
      <c r="L259" s="31"/>
      <c r="M259" s="34">
        <v>24</v>
      </c>
      <c r="N259" s="34"/>
      <c r="O259" s="34"/>
      <c r="P259" s="34"/>
      <c r="Q259" s="34"/>
      <c r="R259" s="34"/>
      <c r="S259" s="34"/>
      <c r="T259" s="31"/>
      <c r="U259" s="34"/>
      <c r="V259" s="34"/>
      <c r="W259" s="34"/>
      <c r="X259" s="33"/>
      <c r="Y259" s="33"/>
      <c r="Z259" s="33"/>
      <c r="AA259" s="33"/>
      <c r="AB259" s="33"/>
      <c r="AC259" s="33"/>
      <c r="AD259" s="33"/>
      <c r="AF259" s="31"/>
      <c r="AG259" s="31"/>
      <c r="AH259" s="31"/>
      <c r="AI259" s="31"/>
      <c r="AJ259" s="31"/>
      <c r="AM259" s="31"/>
      <c r="AN259" s="31"/>
      <c r="AO259" s="31"/>
      <c r="AP259" s="31"/>
      <c r="AQ259" s="31"/>
      <c r="AR259" s="31"/>
      <c r="AS259" s="31"/>
      <c r="AT259" s="31"/>
      <c r="AU259" s="31"/>
    </row>
    <row r="260" spans="3:47">
      <c r="C260" s="30"/>
      <c r="D260" s="29">
        <v>25</v>
      </c>
      <c r="E260" s="28">
        <f>(AF243-($F$28-AD241)*AF249+($G$28-AF240)*AF248)*$H$28</f>
        <v>0</v>
      </c>
      <c r="F260" s="28">
        <f>(AF244+($E$28-AB241)*AF249-($G$28-AF241)*AF247)*$I$28</f>
        <v>0</v>
      </c>
      <c r="G260" s="28">
        <f>(AF245-($E$28-AB240)*AF248+($F$28-AD240)*AF247)*$J$28</f>
        <v>0</v>
      </c>
      <c r="I260" s="27">
        <f t="shared" si="18"/>
        <v>0</v>
      </c>
      <c r="J260" s="27">
        <f t="shared" si="19"/>
        <v>0</v>
      </c>
      <c r="K260" s="27">
        <f t="shared" si="20"/>
        <v>0</v>
      </c>
      <c r="M260" s="34">
        <v>25</v>
      </c>
      <c r="N260" s="34"/>
      <c r="O260" s="34"/>
      <c r="P260" s="34"/>
      <c r="Q260" s="34"/>
      <c r="R260" s="34"/>
      <c r="S260" s="34"/>
      <c r="T260" s="31"/>
      <c r="U260" s="34"/>
      <c r="V260" s="34"/>
      <c r="W260" s="34"/>
      <c r="X260" s="33"/>
      <c r="Y260" s="33"/>
      <c r="Z260" s="33"/>
      <c r="AA260" s="33"/>
      <c r="AB260" s="33"/>
      <c r="AC260" s="33"/>
      <c r="AD260" s="33"/>
    </row>
    <row r="261" spans="3:47">
      <c r="C261" s="30"/>
      <c r="D261" s="29">
        <v>26</v>
      </c>
      <c r="E261" s="28">
        <f>(AF243-($F$29-AD241)*AF249+($G$29-AF240)*AF248)*$H$29</f>
        <v>0</v>
      </c>
      <c r="F261" s="28">
        <f>(AF244+($E$29-AB241)*AF249-($G$29-AF241)*AF247)*$I$29</f>
        <v>0</v>
      </c>
      <c r="G261" s="28">
        <f>(AF245-($E$29-AB240)*AF248+($F$29-AD240)*AF247)*$J$29</f>
        <v>0</v>
      </c>
      <c r="I261" s="27">
        <f t="shared" si="18"/>
        <v>0</v>
      </c>
      <c r="J261" s="27">
        <f t="shared" si="19"/>
        <v>0</v>
      </c>
      <c r="K261" s="27">
        <f t="shared" si="20"/>
        <v>0</v>
      </c>
      <c r="M261" s="33"/>
      <c r="N261" s="33"/>
      <c r="O261" s="33"/>
      <c r="P261" s="33"/>
      <c r="Q261" s="33"/>
      <c r="R261" s="33"/>
      <c r="S261" s="33"/>
      <c r="U261" s="33"/>
      <c r="V261" s="33"/>
      <c r="W261" s="33"/>
      <c r="X261" s="33"/>
      <c r="Y261" s="33"/>
      <c r="Z261" s="33"/>
      <c r="AA261" s="33"/>
      <c r="AB261" s="33"/>
      <c r="AC261" s="33"/>
      <c r="AD261" s="33"/>
      <c r="AK261" s="31"/>
      <c r="AL261" s="31"/>
    </row>
    <row r="262" spans="3:47">
      <c r="C262" s="30"/>
      <c r="D262" s="29">
        <v>27</v>
      </c>
      <c r="E262" s="28">
        <f>(AF243-($F$30-AD241)*AF249+($G$30-AF240)*AF248)*$H$30</f>
        <v>0</v>
      </c>
      <c r="F262" s="28">
        <f>(AF244+($E$30-AB241)*AF249-($G$30-AF241)*AF247)*$I$30</f>
        <v>0</v>
      </c>
      <c r="G262" s="28">
        <f>(AF245-($E$30-AB240)*AF248+($F$30-AD240)*AF247)*$J$30</f>
        <v>0</v>
      </c>
      <c r="I262" s="27">
        <f t="shared" si="18"/>
        <v>0</v>
      </c>
      <c r="J262" s="27">
        <f t="shared" si="19"/>
        <v>0</v>
      </c>
      <c r="K262" s="27">
        <f t="shared" si="20"/>
        <v>0</v>
      </c>
      <c r="M262" s="31"/>
      <c r="N262" s="32"/>
      <c r="O262" s="32"/>
      <c r="P262" s="32"/>
      <c r="Q262" s="31"/>
      <c r="R262" s="31"/>
      <c r="S262" s="31"/>
      <c r="T262" s="31"/>
      <c r="U262" s="31"/>
      <c r="V262" s="31"/>
      <c r="W262" s="31"/>
      <c r="X262" s="31"/>
      <c r="Y262" s="31"/>
      <c r="Z262" s="31"/>
      <c r="AA262" s="31"/>
      <c r="AB262" s="31"/>
      <c r="AC262" s="31"/>
      <c r="AD262" s="31"/>
      <c r="AE262" s="31"/>
    </row>
    <row r="263" spans="3:47">
      <c r="C263" s="30"/>
      <c r="D263" s="29">
        <v>28</v>
      </c>
      <c r="E263" s="28">
        <f>(AF243-($F$31-AD241)*AF249+($G$31-AF240)*AF248)*$H$31</f>
        <v>0</v>
      </c>
      <c r="F263" s="28">
        <f>(AF244+($E$31-AB241)*AF249-($G$31-AF241)*AF247)*$I$31</f>
        <v>0</v>
      </c>
      <c r="G263" s="28">
        <f>(AF245-($E$31-AB240)*AF248+($F$31-AD240)*AF247)*$J$31</f>
        <v>0</v>
      </c>
      <c r="I263" s="27">
        <f t="shared" si="18"/>
        <v>0</v>
      </c>
      <c r="J263" s="27">
        <f t="shared" si="19"/>
        <v>0</v>
      </c>
      <c r="K263" s="27">
        <f t="shared" si="20"/>
        <v>0</v>
      </c>
    </row>
    <row r="264" spans="3:47">
      <c r="C264" s="30"/>
      <c r="D264" s="29">
        <v>29</v>
      </c>
      <c r="E264" s="28">
        <f>(AF243-($F$32-AD241)*AF249+($G$32-AF240)*AF248)*$H$32</f>
        <v>0</v>
      </c>
      <c r="F264" s="28">
        <f>(AF244+($E$32-AB241)*AF249-($G$32-AF241)*AF247)*$I$32</f>
        <v>0</v>
      </c>
      <c r="G264" s="28">
        <f>(AF245-($E$32-AB240)*AF248+($F$32-AD240)*AF247)*$J$32</f>
        <v>0</v>
      </c>
      <c r="I264" s="27">
        <f t="shared" si="18"/>
        <v>0</v>
      </c>
      <c r="J264" s="27">
        <f t="shared" si="19"/>
        <v>0</v>
      </c>
      <c r="K264" s="27">
        <f t="shared" si="20"/>
        <v>0</v>
      </c>
    </row>
    <row r="266" spans="3:47" ht="15.6">
      <c r="C266" s="52" t="str">
        <f>PURPOSE!C39</f>
        <v>23.562(b)(2)</v>
      </c>
      <c r="D266" s="51"/>
      <c r="E266" s="51"/>
      <c r="F266" s="51"/>
    </row>
    <row r="267" spans="3:47">
      <c r="AK267" s="31"/>
      <c r="AL267" s="45"/>
    </row>
    <row r="268" spans="3:47" ht="33.6">
      <c r="C268" s="49" t="s">
        <v>98</v>
      </c>
      <c r="D268" s="49" t="s">
        <v>97</v>
      </c>
      <c r="E268" s="49" t="s">
        <v>96</v>
      </c>
      <c r="F268" s="49" t="s">
        <v>95</v>
      </c>
      <c r="G268" s="49" t="s">
        <v>94</v>
      </c>
      <c r="H268" s="50"/>
      <c r="I268" s="49" t="s">
        <v>93</v>
      </c>
      <c r="J268" s="49" t="s">
        <v>92</v>
      </c>
      <c r="K268" s="49" t="s">
        <v>91</v>
      </c>
      <c r="M268" s="49" t="s">
        <v>13</v>
      </c>
      <c r="N268" s="49" t="s">
        <v>90</v>
      </c>
      <c r="O268" s="49" t="s">
        <v>89</v>
      </c>
      <c r="P268" s="49" t="s">
        <v>88</v>
      </c>
      <c r="Q268" s="49" t="s">
        <v>87</v>
      </c>
      <c r="R268" s="49" t="s">
        <v>86</v>
      </c>
      <c r="S268" s="49" t="s">
        <v>85</v>
      </c>
      <c r="T268" s="31"/>
      <c r="U268" s="49" t="s">
        <v>84</v>
      </c>
      <c r="V268" s="49" t="s">
        <v>83</v>
      </c>
      <c r="W268" s="49" t="s">
        <v>82</v>
      </c>
      <c r="X268" s="33"/>
      <c r="Y268" s="34" t="s">
        <v>81</v>
      </c>
      <c r="Z268" s="34">
        <v>1</v>
      </c>
      <c r="AA268" s="33" t="s">
        <v>80</v>
      </c>
      <c r="AB268" s="45">
        <f>SUMPRODUCT($J$4:$J$32,$E$4:$E$32,$F$4:$F$32)</f>
        <v>0</v>
      </c>
      <c r="AC268" s="33" t="s">
        <v>79</v>
      </c>
      <c r="AD268" s="45">
        <f>SUMPRODUCT(H235:H263,F235:F263,G235:G263)</f>
        <v>0</v>
      </c>
      <c r="AE268" s="33" t="s">
        <v>78</v>
      </c>
      <c r="AF268" s="45">
        <f>SUMPRODUCT($I$4:$I$32,$E$4:$E$32,$G$4:$G$32)</f>
        <v>0</v>
      </c>
      <c r="AK268" s="31"/>
    </row>
    <row r="269" spans="3:47">
      <c r="C269" s="30" t="s">
        <v>77</v>
      </c>
      <c r="D269" s="39">
        <v>1</v>
      </c>
      <c r="E269" s="43">
        <f>(AF276-($F$4-AD274)*AF282+($G$4-AF273)*AF281)*$H$4</f>
        <v>-1969.0572765825402</v>
      </c>
      <c r="F269" s="43">
        <f>(AF277+($E$4-AB274)*AF282-($G$4-AF274)*AF280)*$I$4</f>
        <v>149.77976313611919</v>
      </c>
      <c r="G269" s="43">
        <f>(AF278-($E$4-AB273)*AF281+($F$4-AD273)*AF280)*$J$4</f>
        <v>-10551.183962264151</v>
      </c>
      <c r="H269" s="42"/>
      <c r="I269" s="27">
        <f t="shared" ref="I269:I297" si="21">SQRT(E269^2+F269^2)</f>
        <v>1974.7456889199082</v>
      </c>
      <c r="J269" s="27">
        <f t="shared" ref="J269:J297" si="22">SQRT(E269^2+G269^2)</f>
        <v>10733.343820264161</v>
      </c>
      <c r="K269" s="27">
        <f t="shared" ref="K269:K297" si="23">SQRT(F269^2+G269^2)</f>
        <v>10552.247011086565</v>
      </c>
      <c r="M269" s="34">
        <v>1</v>
      </c>
      <c r="N269" s="47">
        <f>N38</f>
        <v>12</v>
      </c>
      <c r="O269" s="47">
        <f>PURPOSE!E25</f>
        <v>0</v>
      </c>
      <c r="P269" s="47">
        <f>P236</f>
        <v>30</v>
      </c>
      <c r="Q269" s="48">
        <f>PURPOSE!E53</f>
        <v>-7296</v>
      </c>
      <c r="R269" s="48">
        <f>PURPOSE!F53</f>
        <v>1282.5</v>
      </c>
      <c r="S269" s="48">
        <f>PURPOSE!G53</f>
        <v>0</v>
      </c>
      <c r="T269" s="31"/>
      <c r="U269" s="34"/>
      <c r="V269" s="34"/>
      <c r="W269" s="34"/>
      <c r="X269" s="33"/>
      <c r="Y269" s="34" t="s">
        <v>76</v>
      </c>
      <c r="Z269" s="34">
        <v>1</v>
      </c>
      <c r="AA269" s="33" t="s">
        <v>75</v>
      </c>
      <c r="AB269" s="45">
        <f>SUMPRODUCT($J$4:$J$32,$E$4:$E$32)</f>
        <v>25.039370078740159</v>
      </c>
      <c r="AC269" s="33" t="s">
        <v>74</v>
      </c>
      <c r="AD269" s="45">
        <f>SUMPRODUCT($J$4:$J$32,$F$4:$F$32)</f>
        <v>0</v>
      </c>
      <c r="AE269" s="33" t="s">
        <v>73</v>
      </c>
      <c r="AF269" s="45">
        <f>SUMPRODUCT($H$4:$H$32,$G$4:$G$32)</f>
        <v>0</v>
      </c>
      <c r="AK269" s="31"/>
    </row>
    <row r="270" spans="3:47">
      <c r="C270" s="30" t="s">
        <v>72</v>
      </c>
      <c r="D270" s="39">
        <v>2</v>
      </c>
      <c r="E270" s="43">
        <f>(AF276-($F$5-AD274)*AF282+($G$5-AF273)*AF281)*$H$5</f>
        <v>-1678.9427234174598</v>
      </c>
      <c r="F270" s="43">
        <f>(AF277+($E$5-AB274)*AF282-($G$5-AF274)*AF280)*$I$5</f>
        <v>149.77976313611919</v>
      </c>
      <c r="G270" s="43">
        <f>(AF278-($E$5-AB273)*AF281+($F$5-AD273)*AF280)*$J$5</f>
        <v>-6931.683962264151</v>
      </c>
      <c r="H270" s="42"/>
      <c r="I270" s="27">
        <f t="shared" si="21"/>
        <v>1685.6104668521577</v>
      </c>
      <c r="J270" s="27">
        <f t="shared" si="22"/>
        <v>7132.1168821904812</v>
      </c>
      <c r="K270" s="27">
        <f t="shared" si="23"/>
        <v>6933.3019932897159</v>
      </c>
      <c r="M270" s="34">
        <v>2</v>
      </c>
      <c r="N270" s="47"/>
      <c r="O270" s="47"/>
      <c r="P270" s="47"/>
      <c r="Q270" s="47"/>
      <c r="R270" s="46"/>
      <c r="S270" s="46"/>
      <c r="T270" s="31"/>
      <c r="U270" s="34"/>
      <c r="V270" s="34"/>
      <c r="W270" s="34"/>
      <c r="X270" s="33"/>
      <c r="Y270" s="34" t="s">
        <v>71</v>
      </c>
      <c r="Z270" s="34">
        <v>0</v>
      </c>
      <c r="AA270" s="33" t="s">
        <v>70</v>
      </c>
      <c r="AB270" s="45">
        <f>SUMPRODUCT($I$4:$I$32,$E$4:$E$32)</f>
        <v>25.039370078740159</v>
      </c>
      <c r="AC270" s="33" t="s">
        <v>69</v>
      </c>
      <c r="AD270" s="45">
        <f>SUMPRODUCT($H$4:$H$32,$F$4:$F$32)</f>
        <v>0</v>
      </c>
      <c r="AE270" s="33" t="s">
        <v>68</v>
      </c>
      <c r="AF270" s="45">
        <f>SUMPRODUCT($I$4:$I$32,$G$4:$G$32)</f>
        <v>0</v>
      </c>
      <c r="AK270" s="31"/>
    </row>
    <row r="271" spans="3:47">
      <c r="C271" s="30" t="s">
        <v>67</v>
      </c>
      <c r="D271" s="39">
        <v>3</v>
      </c>
      <c r="E271" s="43">
        <f>(AF276-($F$6-AD274)*AF282+($G$6-AF273)*AF281)*$H$6</f>
        <v>-1969.0572765825402</v>
      </c>
      <c r="F271" s="43">
        <f>(AF277+($E$6-AB274)*AF282-($G$6-AF274)*AF280)*$I$6</f>
        <v>491.47023686388081</v>
      </c>
      <c r="G271" s="43">
        <f>(AF278-($E$6-AB273)*AF281+($F$6-AD273)*AF280)*$J$6</f>
        <v>6931.683962264151</v>
      </c>
      <c r="H271" s="42"/>
      <c r="I271" s="27">
        <f t="shared" si="21"/>
        <v>2029.4653365321838</v>
      </c>
      <c r="J271" s="27">
        <f t="shared" si="22"/>
        <v>7205.9301350465985</v>
      </c>
      <c r="K271" s="27">
        <f t="shared" si="23"/>
        <v>6949.0852309086758</v>
      </c>
      <c r="M271" s="34">
        <v>3</v>
      </c>
      <c r="N271" s="34"/>
      <c r="O271" s="34"/>
      <c r="P271" s="34"/>
      <c r="Q271" s="34"/>
      <c r="R271" s="34"/>
      <c r="S271" s="34"/>
      <c r="T271" s="31"/>
      <c r="U271" s="34"/>
      <c r="V271" s="34"/>
      <c r="W271" s="34"/>
      <c r="X271" s="33"/>
      <c r="Y271" s="34" t="s">
        <v>66</v>
      </c>
      <c r="Z271" s="34">
        <v>1</v>
      </c>
      <c r="AA271" s="33" t="s">
        <v>65</v>
      </c>
      <c r="AB271" s="45">
        <f>SUMPRODUCT($J$4:$J$32,POWER($E$4:$E$32,2))</f>
        <v>313.48502697005398</v>
      </c>
      <c r="AC271" s="33" t="s">
        <v>64</v>
      </c>
      <c r="AD271" s="45">
        <f>SUMPRODUCT($J$4:$J$32*POWER($F$4:$F$32,2))</f>
        <v>112.995225990452</v>
      </c>
      <c r="AE271" s="33" t="s">
        <v>63</v>
      </c>
      <c r="AF271" s="45">
        <f>SUMPRODUCT($H$4:$H$32,POWER($G$4:$G$32,2))</f>
        <v>0</v>
      </c>
      <c r="AK271" s="31"/>
    </row>
    <row r="272" spans="3:47">
      <c r="C272" s="30" t="s">
        <v>62</v>
      </c>
      <c r="D272" s="39">
        <v>4</v>
      </c>
      <c r="E272" s="43">
        <f>(AF276-($F$7-AD274)*AF282+($G$7-AF273)*AF281)*$H$7</f>
        <v>-1678.9427234174598</v>
      </c>
      <c r="F272" s="43">
        <f>(AF277+($E$7-AB274)*AF282-($G$7-AF274)*AF280)*$I$7</f>
        <v>491.47023686388081</v>
      </c>
      <c r="G272" s="43">
        <f>(AF278-($E$7-AB273)*AF281+($F$7-AD273)*AF280)*$J$7</f>
        <v>10551.183962264151</v>
      </c>
      <c r="H272" s="42"/>
      <c r="I272" s="27">
        <f t="shared" si="21"/>
        <v>1749.3975140714806</v>
      </c>
      <c r="J272" s="27">
        <f t="shared" si="22"/>
        <v>10683.928662905639</v>
      </c>
      <c r="K272" s="27">
        <f t="shared" si="23"/>
        <v>10562.624011071455</v>
      </c>
      <c r="M272" s="34">
        <v>4</v>
      </c>
      <c r="N272" s="34"/>
      <c r="O272" s="34"/>
      <c r="P272" s="34"/>
      <c r="Q272" s="34"/>
      <c r="R272" s="34"/>
      <c r="S272" s="34"/>
      <c r="T272" s="31"/>
      <c r="U272" s="34"/>
      <c r="V272" s="34"/>
      <c r="W272" s="34"/>
      <c r="X272" s="33"/>
      <c r="Y272" s="34" t="s">
        <v>61</v>
      </c>
      <c r="Z272" s="34">
        <v>1</v>
      </c>
      <c r="AA272" s="33" t="s">
        <v>60</v>
      </c>
      <c r="AB272" s="45">
        <f>SUMPRODUCT($I$4:$I$32,POWER($E$4:$E$32,2))</f>
        <v>313.48502697005398</v>
      </c>
      <c r="AC272" s="33" t="s">
        <v>59</v>
      </c>
      <c r="AD272" s="45">
        <f>SUMPRODUCT($H$4:$H$32,POWER($F$4:$F$32,2))</f>
        <v>112.995225990452</v>
      </c>
      <c r="AE272" s="33" t="s">
        <v>58</v>
      </c>
      <c r="AF272" s="45">
        <f>SUMPRODUCT($I$4:$I$32,POWER($G$4:$G$32,2))</f>
        <v>0</v>
      </c>
      <c r="AK272" s="31"/>
    </row>
    <row r="273" spans="3:37">
      <c r="C273" s="30" t="s">
        <v>57</v>
      </c>
      <c r="D273" s="39">
        <v>5</v>
      </c>
      <c r="E273" s="43">
        <f>(AF276-($F$8-AD274)*AF282+($G$8-AF273)*AF281)*$H$8</f>
        <v>0</v>
      </c>
      <c r="F273" s="43">
        <f>(AF277+($E$8-AB274)*AF282-($G$8-AF274)*AF280)*$I$8</f>
        <v>0</v>
      </c>
      <c r="G273" s="43">
        <f>(AF278-($E$8-AB273)*AF281+($F$8-AD273)*AF280)*$J$8</f>
        <v>0</v>
      </c>
      <c r="H273" s="42"/>
      <c r="I273" s="27">
        <f t="shared" si="21"/>
        <v>0</v>
      </c>
      <c r="J273" s="27">
        <f t="shared" si="22"/>
        <v>0</v>
      </c>
      <c r="K273" s="27">
        <f t="shared" si="23"/>
        <v>0</v>
      </c>
      <c r="M273" s="34">
        <v>5</v>
      </c>
      <c r="N273" s="34"/>
      <c r="O273" s="34"/>
      <c r="P273" s="34"/>
      <c r="Q273" s="34"/>
      <c r="R273" s="34"/>
      <c r="S273" s="34"/>
      <c r="T273" s="31"/>
      <c r="U273" s="34"/>
      <c r="V273" s="34"/>
      <c r="W273" s="34"/>
      <c r="X273" s="33"/>
      <c r="Y273" s="34" t="s">
        <v>56</v>
      </c>
      <c r="Z273" s="34">
        <v>0</v>
      </c>
      <c r="AA273" s="33" t="s">
        <v>55</v>
      </c>
      <c r="AB273" s="45">
        <f>IF(Z278=0,0,AB269/Z278)</f>
        <v>6.2598425196850398</v>
      </c>
      <c r="AC273" s="33" t="s">
        <v>54</v>
      </c>
      <c r="AD273" s="45">
        <f>IF(Z278=0,0,AD269/Z278)</f>
        <v>0</v>
      </c>
      <c r="AE273" s="33" t="s">
        <v>53</v>
      </c>
      <c r="AF273" s="45">
        <f>IF(Z276=0,0,AF269/Z276)</f>
        <v>0</v>
      </c>
      <c r="AK273" s="31"/>
    </row>
    <row r="274" spans="3:37">
      <c r="C274" s="30" t="s">
        <v>52</v>
      </c>
      <c r="D274" s="39">
        <v>6</v>
      </c>
      <c r="E274" s="43">
        <f>(AF276-($F$9-AD274)*AF282+($G$9-AF273)*AF281)*$H$9</f>
        <v>0</v>
      </c>
      <c r="F274" s="43">
        <f>(AF277+($E$9-AB274)*AF282-($G$9-AF274)*AF280)*$I$9</f>
        <v>0</v>
      </c>
      <c r="G274" s="43">
        <f>(AF278-($E$9-AB273)*AF281+($F$9-AD273)*AF280)*$J$9</f>
        <v>0</v>
      </c>
      <c r="H274" s="42"/>
      <c r="I274" s="27">
        <f t="shared" si="21"/>
        <v>0</v>
      </c>
      <c r="J274" s="27">
        <f t="shared" si="22"/>
        <v>0</v>
      </c>
      <c r="K274" s="27">
        <f t="shared" si="23"/>
        <v>0</v>
      </c>
      <c r="M274" s="34">
        <v>6</v>
      </c>
      <c r="N274" s="34"/>
      <c r="O274" s="34"/>
      <c r="P274" s="34"/>
      <c r="Q274" s="34"/>
      <c r="R274" s="34"/>
      <c r="S274" s="34"/>
      <c r="T274" s="31"/>
      <c r="U274" s="34"/>
      <c r="V274" s="34"/>
      <c r="W274" s="34"/>
      <c r="X274" s="33"/>
      <c r="Y274" s="34" t="s">
        <v>12</v>
      </c>
      <c r="Z274" s="34"/>
      <c r="AA274" s="33" t="s">
        <v>51</v>
      </c>
      <c r="AB274" s="45">
        <f>IF(Z277=0,0,AB270/Z277)</f>
        <v>6.2598425196850398</v>
      </c>
      <c r="AC274" s="33" t="s">
        <v>50</v>
      </c>
      <c r="AD274" s="45">
        <f>IF(Z276=0,0,AD270/Z276)</f>
        <v>0</v>
      </c>
      <c r="AE274" s="33" t="s">
        <v>49</v>
      </c>
      <c r="AF274" s="45">
        <f>IF(Z277=0,0,AF270/Z277)</f>
        <v>0</v>
      </c>
      <c r="AK274" s="31"/>
    </row>
    <row r="275" spans="3:37">
      <c r="C275" s="30" t="s">
        <v>48</v>
      </c>
      <c r="D275" s="39">
        <v>7</v>
      </c>
      <c r="E275" s="43">
        <f>(AF276-($F$10-AD274)*AF282+($G$10-AF273)*AF281)*$H$10</f>
        <v>0</v>
      </c>
      <c r="F275" s="43">
        <f>(AF277+($E$10-AB274)*AF282-($G$10-AF274)*AF280)*$I$10</f>
        <v>0</v>
      </c>
      <c r="G275" s="43">
        <f>(AF278-($E$10-AB273)*AF281+($F$10-AD273)*AF280)*$J$10</f>
        <v>0</v>
      </c>
      <c r="H275" s="42"/>
      <c r="I275" s="27">
        <f t="shared" si="21"/>
        <v>0</v>
      </c>
      <c r="J275" s="27">
        <f t="shared" si="22"/>
        <v>0</v>
      </c>
      <c r="K275" s="27">
        <f t="shared" si="23"/>
        <v>0</v>
      </c>
      <c r="M275" s="34">
        <v>7</v>
      </c>
      <c r="N275" s="34"/>
      <c r="O275" s="34"/>
      <c r="P275" s="34"/>
      <c r="Q275" s="34"/>
      <c r="R275" s="34"/>
      <c r="S275" s="34"/>
      <c r="T275" s="31"/>
      <c r="U275" s="34"/>
      <c r="V275" s="34"/>
      <c r="W275" s="34"/>
      <c r="X275" s="33"/>
      <c r="Y275" s="34" t="s">
        <v>47</v>
      </c>
      <c r="Z275" s="34"/>
      <c r="AK275" s="31"/>
    </row>
    <row r="276" spans="3:37">
      <c r="C276" s="30" t="s">
        <v>46</v>
      </c>
      <c r="D276" s="39">
        <v>8</v>
      </c>
      <c r="E276" s="43">
        <f>(AF276-($F$11-AD274)*AF282+($G$11-AF273)*AF281)*$H$11</f>
        <v>0</v>
      </c>
      <c r="F276" s="43">
        <f>(AF277+($E$11-AB274)*AF282-($G$11-AF274)*AF280)*$I$11</f>
        <v>0</v>
      </c>
      <c r="G276" s="43">
        <f>(AF278-($E$11-AB273)*AF281+($F$11-AD273)*AF280)*$J$11</f>
        <v>0</v>
      </c>
      <c r="H276" s="42"/>
      <c r="I276" s="27">
        <f t="shared" si="21"/>
        <v>0</v>
      </c>
      <c r="J276" s="27">
        <f t="shared" si="22"/>
        <v>0</v>
      </c>
      <c r="K276" s="27">
        <f t="shared" si="23"/>
        <v>0</v>
      </c>
      <c r="M276" s="34">
        <v>8</v>
      </c>
      <c r="N276" s="34"/>
      <c r="O276" s="34"/>
      <c r="P276" s="34"/>
      <c r="Q276" s="34"/>
      <c r="R276" s="34"/>
      <c r="S276" s="34"/>
      <c r="T276" s="31"/>
      <c r="U276" s="34"/>
      <c r="V276" s="34"/>
      <c r="W276" s="34"/>
      <c r="X276" s="33"/>
      <c r="Y276" s="34" t="s">
        <v>45</v>
      </c>
      <c r="Z276" s="34">
        <f>SUM($H$4:$H$32)</f>
        <v>4</v>
      </c>
      <c r="AA276" s="33" t="s">
        <v>44</v>
      </c>
      <c r="AB276" s="44">
        <f>SUM(Q269:Q293)</f>
        <v>-7296</v>
      </c>
      <c r="AC276" s="33" t="s">
        <v>43</v>
      </c>
      <c r="AD276" s="33">
        <f>SUM(U269:U293,SUMPRODUCT(S269:S293,(O269:O293-AD273)),-SUMPRODUCT(R269:R293,(P269:P293-AF274)))</f>
        <v>-38475</v>
      </c>
      <c r="AE276" s="26" t="s">
        <v>42</v>
      </c>
      <c r="AF276" s="26">
        <f>IF(Z276=0,0,AB276/Z276)</f>
        <v>-1824</v>
      </c>
      <c r="AK276" s="31"/>
    </row>
    <row r="277" spans="3:37">
      <c r="C277" s="30" t="s">
        <v>41</v>
      </c>
      <c r="D277" s="39">
        <v>9</v>
      </c>
      <c r="E277" s="43">
        <f>(AF276-($F$12-AD274)*AF282+($G$12-AF273)*AF281)*$H$12</f>
        <v>0</v>
      </c>
      <c r="F277" s="43">
        <f>(AF277+($E$12-AB274)*AF282-($G$12-AF274)*AF280)*$I$12</f>
        <v>0</v>
      </c>
      <c r="G277" s="43">
        <f>(AF278-($E$12-AB273)*AF281+($F$12-AD273)*AF280)*$J$12</f>
        <v>0</v>
      </c>
      <c r="H277" s="42"/>
      <c r="I277" s="27">
        <f t="shared" si="21"/>
        <v>0</v>
      </c>
      <c r="J277" s="27">
        <f t="shared" si="22"/>
        <v>0</v>
      </c>
      <c r="K277" s="27">
        <f t="shared" si="23"/>
        <v>0</v>
      </c>
      <c r="M277" s="34">
        <v>9</v>
      </c>
      <c r="N277" s="34"/>
      <c r="O277" s="34"/>
      <c r="P277" s="34"/>
      <c r="Q277" s="34"/>
      <c r="R277" s="34"/>
      <c r="S277" s="34"/>
      <c r="T277" s="31"/>
      <c r="U277" s="34"/>
      <c r="V277" s="34"/>
      <c r="W277" s="34"/>
      <c r="X277" s="33"/>
      <c r="Y277" s="34" t="s">
        <v>40</v>
      </c>
      <c r="Z277" s="34">
        <f>SUM($I$4:$I$32)</f>
        <v>4</v>
      </c>
      <c r="AA277" s="33" t="s">
        <v>39</v>
      </c>
      <c r="AB277" s="33">
        <f>SUM(R269:R293)</f>
        <v>1282.5</v>
      </c>
      <c r="AC277" s="33" t="s">
        <v>38</v>
      </c>
      <c r="AD277" s="33">
        <f>SUM(V269:V293,SUMPRODUCT(Q269:Q293,(P269:P293-AF273)),-SUMPRODUCT(S269:S293,(N269:N293-AB273)))</f>
        <v>-218880</v>
      </c>
      <c r="AE277" s="26" t="s">
        <v>37</v>
      </c>
      <c r="AF277" s="26">
        <f>IF(Z277=0,0,AB277/Z277)</f>
        <v>320.625</v>
      </c>
      <c r="AK277" s="31"/>
    </row>
    <row r="278" spans="3:37">
      <c r="C278" s="30"/>
      <c r="D278" s="39">
        <v>10</v>
      </c>
      <c r="E278" s="43">
        <f>(AF276-($F$13-AD274)*AF282+($G$13-AF273)*AF281)*$H$13</f>
        <v>0</v>
      </c>
      <c r="F278" s="43">
        <f>(AF277+($E$13-AB274)*AF282-($G$13-AF274)*AF280)*$I$13</f>
        <v>0</v>
      </c>
      <c r="G278" s="43">
        <f>(AF278-($E$13-AB273)*AF281+($F$13-AD273)*AF280)*$J$13</f>
        <v>0</v>
      </c>
      <c r="H278" s="42"/>
      <c r="I278" s="27">
        <f t="shared" si="21"/>
        <v>0</v>
      </c>
      <c r="J278" s="27">
        <f t="shared" si="22"/>
        <v>0</v>
      </c>
      <c r="K278" s="27">
        <f t="shared" si="23"/>
        <v>0</v>
      </c>
      <c r="M278" s="34">
        <v>10</v>
      </c>
      <c r="N278" s="34"/>
      <c r="O278" s="34"/>
      <c r="P278" s="34"/>
      <c r="Q278" s="34"/>
      <c r="R278" s="34"/>
      <c r="S278" s="34"/>
      <c r="T278" s="31"/>
      <c r="U278" s="34"/>
      <c r="V278" s="34"/>
      <c r="W278" s="34"/>
      <c r="X278" s="33"/>
      <c r="Y278" s="34" t="s">
        <v>36</v>
      </c>
      <c r="Z278" s="34">
        <f>SUM($J$4:$J$32)</f>
        <v>4</v>
      </c>
      <c r="AA278" s="33" t="s">
        <v>35</v>
      </c>
      <c r="AB278" s="33">
        <f>SUM(S269:S293)</f>
        <v>0</v>
      </c>
      <c r="AC278" s="33" t="s">
        <v>34</v>
      </c>
      <c r="AD278" s="33">
        <f>SUM(W269:W293,SUMPRODUCT(R269:R293,(N269:N293-AB274)),-SUMPRODUCT(Q269:Q293,(O269:O293-AD274)))</f>
        <v>7361.751968503936</v>
      </c>
      <c r="AE278" s="26" t="s">
        <v>33</v>
      </c>
      <c r="AF278" s="26">
        <f>IF(Z278=0,0,AB278/Z278)</f>
        <v>0</v>
      </c>
      <c r="AK278" s="31"/>
    </row>
    <row r="279" spans="3:37">
      <c r="C279" s="30"/>
      <c r="D279" s="39">
        <v>11</v>
      </c>
      <c r="E279" s="43">
        <f>(AF276-($F$14-AD274)*AF282+($G$14-AF273)*AF281)*$H$14</f>
        <v>0</v>
      </c>
      <c r="F279" s="43">
        <f>(AF277+($E$14-AB274)*AF282-($G$14-AF274)*AF280)*$I$14</f>
        <v>0</v>
      </c>
      <c r="G279" s="43">
        <f>(AF278-($E$14-AB273)*AF281+($F$14-AD273)*AF280)*$J$14</f>
        <v>0</v>
      </c>
      <c r="H279" s="42"/>
      <c r="I279" s="27">
        <f t="shared" si="21"/>
        <v>0</v>
      </c>
      <c r="J279" s="27">
        <f t="shared" si="22"/>
        <v>0</v>
      </c>
      <c r="K279" s="27">
        <f t="shared" si="23"/>
        <v>0</v>
      </c>
      <c r="M279" s="34">
        <v>11</v>
      </c>
      <c r="N279" s="34"/>
      <c r="O279" s="34"/>
      <c r="P279" s="34"/>
      <c r="Q279" s="34"/>
      <c r="R279" s="34"/>
      <c r="S279" s="34"/>
      <c r="T279" s="31"/>
      <c r="U279" s="34"/>
      <c r="V279" s="34"/>
      <c r="W279" s="34"/>
      <c r="X279" s="33"/>
      <c r="AK279" s="31"/>
    </row>
    <row r="280" spans="3:37">
      <c r="C280" s="30"/>
      <c r="D280" s="39">
        <v>12</v>
      </c>
      <c r="E280" s="28">
        <f>(AF276-($F$15-AD274)*AF282+($G$15-AF273)*AF281)*$H$15</f>
        <v>0</v>
      </c>
      <c r="F280" s="28">
        <f>(AF277+($E$15-AB274)*AF282-($G$15-AF274)*AF280)*$I$15</f>
        <v>0</v>
      </c>
      <c r="G280" s="28">
        <f>(AF278-($E$15-AB273)*AF281+($F$15-AD273)*AF280)*$J$15</f>
        <v>0</v>
      </c>
      <c r="I280" s="27">
        <f t="shared" si="21"/>
        <v>0</v>
      </c>
      <c r="J280" s="27">
        <f t="shared" si="22"/>
        <v>0</v>
      </c>
      <c r="K280" s="27">
        <f t="shared" si="23"/>
        <v>0</v>
      </c>
      <c r="M280" s="34">
        <v>12</v>
      </c>
      <c r="N280" s="34"/>
      <c r="O280" s="34"/>
      <c r="P280" s="34"/>
      <c r="Q280" s="34"/>
      <c r="R280" s="34"/>
      <c r="S280" s="34"/>
      <c r="T280" s="31"/>
      <c r="U280" s="34"/>
      <c r="V280" s="34"/>
      <c r="W280" s="34"/>
      <c r="X280" s="33"/>
      <c r="Y280" s="36">
        <v>1</v>
      </c>
      <c r="Z280" s="38">
        <f>AF272+AD271-Z278*AD273^2-Z277*AF274^2</f>
        <v>112.995225990452</v>
      </c>
      <c r="AA280" s="35">
        <v>1</v>
      </c>
      <c r="AB280" s="26">
        <f>Z282*Z281^2-Z281*Z284^2</f>
        <v>6626974.9209806556</v>
      </c>
      <c r="AC280" s="37">
        <v>1</v>
      </c>
      <c r="AD280" s="26">
        <f>Z282*Z281-Z284^2</f>
        <v>42279.371267155962</v>
      </c>
      <c r="AE280" s="40">
        <v>1</v>
      </c>
      <c r="AF280" s="26">
        <f>IF(Z280=0,0,IF(Z281=0,AD276/Z282,IF(Z282=0,AD276/Z281,(AD276*AB280+AD277*AB281+AD278*AB282)/(AD280*AD281-AD282))))</f>
        <v>-340.50111111111102</v>
      </c>
      <c r="AK280" s="31"/>
    </row>
    <row r="281" spans="3:37">
      <c r="C281" s="30"/>
      <c r="D281" s="39">
        <v>13</v>
      </c>
      <c r="E281" s="28">
        <f>(AF276-($F$16-AD274)*AF282+($G$16-AF273)*AF281)*$H$16</f>
        <v>0</v>
      </c>
      <c r="F281" s="28">
        <f>(AF277+($E$16-AB274)*AF282-($G$16-AF274)*AF280)*$I$16</f>
        <v>0</v>
      </c>
      <c r="G281" s="28">
        <f>(AF278-($E$16-AB273)*AF281+($F$16-AD273)*AF280)*$J$16</f>
        <v>0</v>
      </c>
      <c r="I281" s="27">
        <f t="shared" si="21"/>
        <v>0</v>
      </c>
      <c r="J281" s="27">
        <f t="shared" si="22"/>
        <v>0</v>
      </c>
      <c r="K281" s="27">
        <f t="shared" si="23"/>
        <v>0</v>
      </c>
      <c r="M281" s="34">
        <v>13</v>
      </c>
      <c r="N281" s="34"/>
      <c r="O281" s="34"/>
      <c r="P281" s="34"/>
      <c r="Q281" s="34"/>
      <c r="R281" s="34"/>
      <c r="S281" s="34"/>
      <c r="T281" s="31"/>
      <c r="U281" s="34"/>
      <c r="V281" s="34"/>
      <c r="W281" s="34"/>
      <c r="X281" s="33"/>
      <c r="Y281" s="36">
        <v>2</v>
      </c>
      <c r="Z281" s="38">
        <f>AF271+AB271-Z278*AB273^2-Z276*AF273^2</f>
        <v>156.74251348502699</v>
      </c>
      <c r="AA281" s="35">
        <v>2</v>
      </c>
      <c r="AB281" s="41">
        <f>Z281*Z282*Z283+Z281*Z284*Z285</f>
        <v>0</v>
      </c>
      <c r="AC281" s="37">
        <v>2</v>
      </c>
      <c r="AD281" s="26">
        <f>Z280*Z281-Z283^2</f>
        <v>17711.155733552096</v>
      </c>
      <c r="AE281" s="40">
        <v>2</v>
      </c>
      <c r="AF281" s="26">
        <f>IF(Z280=0,AD277/Z282,IF(Z281=0,0,IF(Z282=0,AD277/Z280,(AD277*AB283+AD276*AB284+AD278*AB285)/(AD283*AD281-AD285))))</f>
        <v>-1396.4303310786756</v>
      </c>
      <c r="AK281" s="31"/>
    </row>
    <row r="282" spans="3:37">
      <c r="C282" s="30"/>
      <c r="D282" s="39">
        <v>14</v>
      </c>
      <c r="E282" s="28">
        <f>(AF276-($F$17-AD274)*AF282+($G$17-AF273)*AF281)*$H$17</f>
        <v>0</v>
      </c>
      <c r="F282" s="28">
        <f>(AF277+($E$17-AB274)*AF282-($G$17-AF274)*AF280)*$I$17</f>
        <v>0</v>
      </c>
      <c r="G282" s="28">
        <f>(AF278-($E$17-AB273)*AF281+($F$17-AD273)*AF280)*$J$17</f>
        <v>0</v>
      </c>
      <c r="I282" s="27">
        <f t="shared" si="21"/>
        <v>0</v>
      </c>
      <c r="J282" s="27">
        <f t="shared" si="22"/>
        <v>0</v>
      </c>
      <c r="K282" s="27">
        <f t="shared" si="23"/>
        <v>0</v>
      </c>
      <c r="M282" s="34">
        <v>14</v>
      </c>
      <c r="N282" s="34"/>
      <c r="O282" s="34"/>
      <c r="P282" s="34"/>
      <c r="Q282" s="34"/>
      <c r="R282" s="34"/>
      <c r="S282" s="34"/>
      <c r="T282" s="31"/>
      <c r="U282" s="34"/>
      <c r="V282" s="34"/>
      <c r="W282" s="34"/>
      <c r="X282" s="33"/>
      <c r="Y282" s="36">
        <v>3</v>
      </c>
      <c r="Z282" s="38">
        <f>AD272+AB272-Z277*AB274^2-Z276*AD274^2</f>
        <v>269.73773947547897</v>
      </c>
      <c r="AA282" s="35">
        <v>3</v>
      </c>
      <c r="AB282" s="26">
        <f>Z285*Z281^2+Z281*Z283*Z284</f>
        <v>0</v>
      </c>
      <c r="AC282" s="37">
        <v>3</v>
      </c>
      <c r="AD282" s="26">
        <f>(Z281*Z285+Z283*Z284)^2</f>
        <v>0</v>
      </c>
      <c r="AE282" s="40">
        <v>3</v>
      </c>
      <c r="AF282" s="38">
        <f>IF(Z280=0,AD278/Z281,IF(Z281=0,AD278/Z280,IF(Z282=0,0,(AD278*AB286+AD276*AB287+AD277*AB285)/(AD281*AD283-AD285))))</f>
        <v>27.292257964418695</v>
      </c>
    </row>
    <row r="283" spans="3:37">
      <c r="C283" s="30"/>
      <c r="D283" s="39">
        <v>15</v>
      </c>
      <c r="E283" s="28">
        <f>(AF276-($F$18-AD274)*AF282+($G$18-AF273)*AF281)*$H$18</f>
        <v>0</v>
      </c>
      <c r="F283" s="28">
        <f>(AF277+($E$18-AB274)*AF282-($G$18-AF274)*AF280)*$I$18</f>
        <v>0</v>
      </c>
      <c r="G283" s="28">
        <f>(AF278-($E$18-AB273)*AF281+($F$18-AD273)*AF280)*$J$18</f>
        <v>0</v>
      </c>
      <c r="I283" s="27">
        <f t="shared" si="21"/>
        <v>0</v>
      </c>
      <c r="J283" s="27">
        <f t="shared" si="22"/>
        <v>0</v>
      </c>
      <c r="K283" s="27">
        <f t="shared" si="23"/>
        <v>0</v>
      </c>
      <c r="M283" s="34">
        <v>15</v>
      </c>
      <c r="N283" s="34"/>
      <c r="O283" s="34"/>
      <c r="P283" s="34"/>
      <c r="Q283" s="34"/>
      <c r="R283" s="34"/>
      <c r="S283" s="34"/>
      <c r="T283" s="31"/>
      <c r="U283" s="34"/>
      <c r="V283" s="34"/>
      <c r="W283" s="34"/>
      <c r="X283" s="33"/>
      <c r="Y283" s="36">
        <v>4</v>
      </c>
      <c r="Z283" s="38">
        <f>AB268-AD273*AB273*Z278</f>
        <v>0</v>
      </c>
      <c r="AA283" s="35">
        <v>4</v>
      </c>
      <c r="AB283" s="26">
        <f>Z282*Z280^2-Z280*Z285^2</f>
        <v>3443990.1744071501</v>
      </c>
      <c r="AC283" s="37">
        <v>4</v>
      </c>
      <c r="AD283" s="26">
        <f>Z282*Z280-Z285^2</f>
        <v>30479.076830185411</v>
      </c>
    </row>
    <row r="284" spans="3:37">
      <c r="C284" s="30"/>
      <c r="D284" s="29">
        <v>16</v>
      </c>
      <c r="E284" s="28">
        <f>(AF276-($F$19-AD274)*AF282+($G$19-AF273)*AF281)*$H$19</f>
        <v>0</v>
      </c>
      <c r="F284" s="28">
        <f>(AF277+($E$19-AB274)*AF282-($G$19-AF274)*AF280)*$I$19</f>
        <v>0</v>
      </c>
      <c r="G284" s="28">
        <f>(AF278-($E$19-AB273)*AF281+($F$19-AD273)*AF280)*$J$19</f>
        <v>0</v>
      </c>
      <c r="I284" s="27">
        <f t="shared" si="21"/>
        <v>0</v>
      </c>
      <c r="J284" s="27">
        <f t="shared" si="22"/>
        <v>0</v>
      </c>
      <c r="K284" s="27">
        <f t="shared" si="23"/>
        <v>0</v>
      </c>
      <c r="M284" s="34">
        <v>16</v>
      </c>
      <c r="N284" s="34"/>
      <c r="O284" s="34"/>
      <c r="P284" s="34"/>
      <c r="Q284" s="34"/>
      <c r="R284" s="34"/>
      <c r="S284" s="34"/>
      <c r="T284" s="31"/>
      <c r="U284" s="34"/>
      <c r="V284" s="34"/>
      <c r="W284" s="34"/>
      <c r="X284" s="33"/>
      <c r="Y284" s="36">
        <v>5</v>
      </c>
      <c r="Z284" s="38">
        <f>AD268-AD274*AF273*Z276</f>
        <v>0</v>
      </c>
      <c r="AA284" s="35">
        <v>5</v>
      </c>
      <c r="AB284" s="26">
        <f>Z280*Z282*Z283+Z280*Z284*Z285</f>
        <v>0</v>
      </c>
      <c r="AC284" s="37"/>
    </row>
    <row r="285" spans="3:37">
      <c r="C285" s="30"/>
      <c r="D285" s="29">
        <v>17</v>
      </c>
      <c r="E285" s="28">
        <f>(AF276-($F$20-AD274)*AF282+($G$20-AF273)*AF281)*$H$20</f>
        <v>0</v>
      </c>
      <c r="F285" s="28">
        <f>(AF277+($E$20-AB274)*AF282-($G$20-AF274)*AF280)*$I$20</f>
        <v>0</v>
      </c>
      <c r="G285" s="28">
        <f>(AF278-($E$20-AB273)*AF281+($F$20-AD273)*AF280)*$J$20</f>
        <v>0</v>
      </c>
      <c r="I285" s="27">
        <f t="shared" si="21"/>
        <v>0</v>
      </c>
      <c r="J285" s="27">
        <f t="shared" si="22"/>
        <v>0</v>
      </c>
      <c r="K285" s="27">
        <f t="shared" si="23"/>
        <v>0</v>
      </c>
      <c r="M285" s="34">
        <v>17</v>
      </c>
      <c r="N285" s="34"/>
      <c r="O285" s="34"/>
      <c r="P285" s="34"/>
      <c r="Q285" s="34"/>
      <c r="R285" s="34"/>
      <c r="S285" s="34"/>
      <c r="T285" s="31"/>
      <c r="U285" s="34"/>
      <c r="V285" s="34"/>
      <c r="W285" s="34"/>
      <c r="X285" s="33"/>
      <c r="Y285" s="36">
        <v>6</v>
      </c>
      <c r="Z285" s="38">
        <f>AF268-AB274*AF274*Z277</f>
        <v>0</v>
      </c>
      <c r="AA285" s="35">
        <v>6</v>
      </c>
      <c r="AB285" s="26">
        <f>Z284*Z280^2+Z280*Z283*Z285</f>
        <v>0</v>
      </c>
      <c r="AC285" s="37">
        <v>6</v>
      </c>
      <c r="AD285" s="26">
        <f>(Z280*Z284+Z283*Z285)^2</f>
        <v>0</v>
      </c>
    </row>
    <row r="286" spans="3:37">
      <c r="C286" s="30"/>
      <c r="D286" s="29">
        <v>18</v>
      </c>
      <c r="E286" s="28">
        <f>(AF276-($F$21-AD274)*AF282+($G$21-AF273)*AF281)*$H$21</f>
        <v>0</v>
      </c>
      <c r="F286" s="28">
        <f>(AF277+($E$21-AB274)*AF282-($G$21-AF274)*AF280)*$I$21</f>
        <v>0</v>
      </c>
      <c r="G286" s="28">
        <f>(AF278-($E$21-AB273)*AF281+($F$21-AD273)*AF280)*$J$21</f>
        <v>0</v>
      </c>
      <c r="I286" s="27">
        <f t="shared" si="21"/>
        <v>0</v>
      </c>
      <c r="J286" s="27">
        <f t="shared" si="22"/>
        <v>0</v>
      </c>
      <c r="K286" s="27">
        <f t="shared" si="23"/>
        <v>0</v>
      </c>
      <c r="M286" s="34">
        <v>18</v>
      </c>
      <c r="N286" s="34"/>
      <c r="O286" s="34"/>
      <c r="P286" s="34"/>
      <c r="Q286" s="34"/>
      <c r="R286" s="34"/>
      <c r="S286" s="34"/>
      <c r="T286" s="31"/>
      <c r="U286" s="34"/>
      <c r="V286" s="34"/>
      <c r="W286" s="34"/>
      <c r="X286" s="33"/>
      <c r="Y286" s="36"/>
      <c r="AA286" s="35">
        <v>7</v>
      </c>
      <c r="AB286" s="26">
        <f>Z281*Z280^2-Z280*Z283^2</f>
        <v>2001276.0446648085</v>
      </c>
    </row>
    <row r="287" spans="3:37">
      <c r="C287" s="30"/>
      <c r="D287" s="29">
        <v>19</v>
      </c>
      <c r="E287" s="28">
        <f>(AF276-($F$22-AD274)*AF282+($G$22-AF273)*AF281)*$H$22</f>
        <v>0</v>
      </c>
      <c r="F287" s="28">
        <f>(AF277+($E$22-AB274)*AF282-($G$22-AF274)*AF280)*$I$22</f>
        <v>0</v>
      </c>
      <c r="G287" s="28">
        <f>(AF278-($E$22-AB273)*AF281+($F$22-AD273)*AF280)*$J$22</f>
        <v>0</v>
      </c>
      <c r="I287" s="27">
        <f t="shared" si="21"/>
        <v>0</v>
      </c>
      <c r="J287" s="27">
        <f t="shared" si="22"/>
        <v>0</v>
      </c>
      <c r="K287" s="27">
        <f t="shared" si="23"/>
        <v>0</v>
      </c>
      <c r="M287" s="34">
        <v>19</v>
      </c>
      <c r="N287" s="34"/>
      <c r="O287" s="34"/>
      <c r="P287" s="34"/>
      <c r="Q287" s="34"/>
      <c r="R287" s="34"/>
      <c r="S287" s="34"/>
      <c r="T287" s="31"/>
      <c r="U287" s="34"/>
      <c r="V287" s="34"/>
      <c r="W287" s="34"/>
      <c r="X287" s="33"/>
      <c r="AA287" s="35">
        <v>8</v>
      </c>
      <c r="AB287" s="26">
        <f>Z280*Z281*Z285+Z280*Z284*Z283</f>
        <v>0</v>
      </c>
    </row>
    <row r="288" spans="3:37">
      <c r="C288" s="30"/>
      <c r="D288" s="29">
        <v>20</v>
      </c>
      <c r="E288" s="28">
        <f>(AF276-($F$23-AD274)*AF282+($G$23-AF273)*AF281)*$H$23</f>
        <v>0</v>
      </c>
      <c r="F288" s="28">
        <f>(AF277+($E$23-AB274)*AF282-($G$23-AF274)*AF280)*$I$23</f>
        <v>0</v>
      </c>
      <c r="G288" s="28">
        <f>(AF278-($E$23-AB273)*AF281+($F$23-AD273)*AF280)*$J$23</f>
        <v>0</v>
      </c>
      <c r="I288" s="27">
        <f t="shared" si="21"/>
        <v>0</v>
      </c>
      <c r="J288" s="27">
        <f t="shared" si="22"/>
        <v>0</v>
      </c>
      <c r="K288" s="27">
        <f t="shared" si="23"/>
        <v>0</v>
      </c>
      <c r="M288" s="34">
        <v>20</v>
      </c>
      <c r="N288" s="34"/>
      <c r="O288" s="34"/>
      <c r="P288" s="34"/>
      <c r="Q288" s="34"/>
      <c r="R288" s="34"/>
      <c r="S288" s="34"/>
      <c r="T288" s="31"/>
      <c r="U288" s="34"/>
      <c r="V288" s="34"/>
      <c r="W288" s="34"/>
      <c r="X288" s="33"/>
      <c r="Y288" s="33"/>
      <c r="Z288" s="33"/>
      <c r="AA288" s="33"/>
      <c r="AB288" s="33"/>
      <c r="AC288" s="33"/>
      <c r="AD288" s="33"/>
    </row>
    <row r="289" spans="3:47">
      <c r="C289" s="30"/>
      <c r="D289" s="29">
        <v>21</v>
      </c>
      <c r="E289" s="28">
        <f>(AF276-($F$24-AD274)*AF282+($G$24-AF273)*AF281)*$H$24</f>
        <v>0</v>
      </c>
      <c r="F289" s="28">
        <f>(AF277+($E$24-AB274)*AF282-($G$24-AF274)*AF280)*$I$24</f>
        <v>0</v>
      </c>
      <c r="G289" s="28">
        <f>(AF278-($E$24-AB273)*AF281+($F$24-AD273)*AF280)*$J$24</f>
        <v>0</v>
      </c>
      <c r="I289" s="27">
        <f t="shared" si="21"/>
        <v>0</v>
      </c>
      <c r="J289" s="27">
        <f t="shared" si="22"/>
        <v>0</v>
      </c>
      <c r="K289" s="27">
        <f t="shared" si="23"/>
        <v>0</v>
      </c>
      <c r="M289" s="34">
        <v>21</v>
      </c>
      <c r="N289" s="34"/>
      <c r="O289" s="34"/>
      <c r="P289" s="34"/>
      <c r="Q289" s="34"/>
      <c r="R289" s="34"/>
      <c r="S289" s="34"/>
      <c r="T289" s="31"/>
      <c r="U289" s="34"/>
      <c r="V289" s="34"/>
      <c r="W289" s="34"/>
      <c r="X289" s="33"/>
      <c r="Y289" s="33"/>
      <c r="Z289" s="33"/>
      <c r="AA289" s="33"/>
      <c r="AB289" s="33"/>
      <c r="AC289" s="33"/>
      <c r="AD289" s="33"/>
    </row>
    <row r="290" spans="3:47">
      <c r="C290" s="30"/>
      <c r="D290" s="29">
        <v>22</v>
      </c>
      <c r="E290" s="28">
        <f>(AF276-($F$25-AD274)*AF282+($G$25-AF273)*AF281)*$H$25</f>
        <v>0</v>
      </c>
      <c r="F290" s="28">
        <f>(AF277+($E$25-AB274)*AF282-($G$25-AF274)*AF280)*$I$25</f>
        <v>0</v>
      </c>
      <c r="G290" s="28">
        <f>(AF278-($E$25-AB273)*AF281+($F$25-AD273)*AF280)*$J$25</f>
        <v>0</v>
      </c>
      <c r="I290" s="27">
        <f t="shared" si="21"/>
        <v>0</v>
      </c>
      <c r="J290" s="27">
        <f t="shared" si="22"/>
        <v>0</v>
      </c>
      <c r="K290" s="27">
        <f t="shared" si="23"/>
        <v>0</v>
      </c>
      <c r="M290" s="34">
        <v>22</v>
      </c>
      <c r="N290" s="34"/>
      <c r="O290" s="34"/>
      <c r="P290" s="34"/>
      <c r="Q290" s="34"/>
      <c r="R290" s="34"/>
      <c r="S290" s="34"/>
      <c r="T290" s="31"/>
      <c r="U290" s="34"/>
      <c r="V290" s="34"/>
      <c r="W290" s="34"/>
      <c r="X290" s="33"/>
      <c r="Y290" s="33"/>
      <c r="Z290" s="33"/>
      <c r="AA290" s="33"/>
      <c r="AB290" s="33"/>
      <c r="AC290" s="33"/>
      <c r="AD290" s="33"/>
    </row>
    <row r="291" spans="3:47">
      <c r="C291" s="30"/>
      <c r="D291" s="29">
        <v>23</v>
      </c>
      <c r="E291" s="28">
        <f>(AF276-($F$26-AD274)*AF282+($G$26-AF273)*AF281)*$H$26</f>
        <v>0</v>
      </c>
      <c r="F291" s="28">
        <f>(AF277+($E$26-AB274)*AF282-($G$26-AF274)*AF280)*$I$26</f>
        <v>0</v>
      </c>
      <c r="G291" s="28">
        <f>(AF278-($E$26-AB273)*AF281+($F$26-AD273)*AF280)*$J$26</f>
        <v>0</v>
      </c>
      <c r="I291" s="27">
        <f t="shared" si="21"/>
        <v>0</v>
      </c>
      <c r="J291" s="27">
        <f t="shared" si="22"/>
        <v>0</v>
      </c>
      <c r="K291" s="27">
        <f t="shared" si="23"/>
        <v>0</v>
      </c>
      <c r="M291" s="34">
        <v>23</v>
      </c>
      <c r="N291" s="34"/>
      <c r="O291" s="34"/>
      <c r="P291" s="34"/>
      <c r="Q291" s="34"/>
      <c r="R291" s="34"/>
      <c r="S291" s="34"/>
      <c r="T291" s="31"/>
      <c r="U291" s="34"/>
      <c r="V291" s="34"/>
      <c r="W291" s="34"/>
      <c r="X291" s="33"/>
      <c r="Y291" s="33"/>
      <c r="Z291" s="33"/>
      <c r="AA291" s="33"/>
      <c r="AB291" s="33"/>
      <c r="AC291" s="33"/>
      <c r="AD291" s="33"/>
    </row>
    <row r="292" spans="3:47">
      <c r="C292" s="30"/>
      <c r="D292" s="29">
        <v>24</v>
      </c>
      <c r="E292" s="28">
        <f>(AF276-($F$27-AD274)*AF282+($G$27-AF273)*AF281)*$H$27</f>
        <v>0</v>
      </c>
      <c r="F292" s="28">
        <f>(AF277+($E$27-AB274)*AF282-($G$27-AF274)*AF280)*$I$27</f>
        <v>0</v>
      </c>
      <c r="G292" s="28">
        <f>(AF278-($E$27-AB273)*AF281+($F$27-AD273)*AF280)*$J$27</f>
        <v>0</v>
      </c>
      <c r="I292" s="27">
        <f t="shared" si="21"/>
        <v>0</v>
      </c>
      <c r="J292" s="27">
        <f t="shared" si="22"/>
        <v>0</v>
      </c>
      <c r="K292" s="27">
        <f t="shared" si="23"/>
        <v>0</v>
      </c>
      <c r="L292" s="31"/>
      <c r="M292" s="34">
        <v>24</v>
      </c>
      <c r="N292" s="34"/>
      <c r="O292" s="34"/>
      <c r="P292" s="34"/>
      <c r="Q292" s="34"/>
      <c r="R292" s="34"/>
      <c r="S292" s="34"/>
      <c r="T292" s="31"/>
      <c r="U292" s="34"/>
      <c r="V292" s="34"/>
      <c r="W292" s="34"/>
      <c r="X292" s="33"/>
      <c r="Y292" s="33"/>
      <c r="Z292" s="33"/>
      <c r="AA292" s="33"/>
      <c r="AB292" s="33"/>
      <c r="AC292" s="33"/>
      <c r="AD292" s="33"/>
      <c r="AF292" s="31"/>
      <c r="AG292" s="31"/>
      <c r="AH292" s="31"/>
      <c r="AI292" s="31"/>
      <c r="AJ292" s="31"/>
      <c r="AM292" s="31"/>
      <c r="AN292" s="31"/>
      <c r="AO292" s="31"/>
      <c r="AP292" s="31"/>
      <c r="AQ292" s="31"/>
      <c r="AR292" s="31"/>
      <c r="AS292" s="31"/>
      <c r="AT292" s="31"/>
      <c r="AU292" s="31"/>
    </row>
    <row r="293" spans="3:47">
      <c r="C293" s="30"/>
      <c r="D293" s="29">
        <v>25</v>
      </c>
      <c r="E293" s="28">
        <f>(AF276-($F$28-AD274)*AF282+($G$28-AF273)*AF281)*$H$28</f>
        <v>0</v>
      </c>
      <c r="F293" s="28">
        <f>(AF277+($E$28-AB274)*AF282-($G$28-AF274)*AF280)*$I$28</f>
        <v>0</v>
      </c>
      <c r="G293" s="28">
        <f>(AF278-($E$28-AB273)*AF281+($F$28-AD273)*AF280)*$J$28</f>
        <v>0</v>
      </c>
      <c r="I293" s="27">
        <f t="shared" si="21"/>
        <v>0</v>
      </c>
      <c r="J293" s="27">
        <f t="shared" si="22"/>
        <v>0</v>
      </c>
      <c r="K293" s="27">
        <f t="shared" si="23"/>
        <v>0</v>
      </c>
      <c r="M293" s="34">
        <v>25</v>
      </c>
      <c r="N293" s="34"/>
      <c r="O293" s="34"/>
      <c r="P293" s="34"/>
      <c r="Q293" s="34"/>
      <c r="R293" s="34"/>
      <c r="S293" s="34"/>
      <c r="T293" s="31"/>
      <c r="U293" s="34"/>
      <c r="V293" s="34"/>
      <c r="W293" s="34"/>
      <c r="X293" s="33"/>
      <c r="Y293" s="33"/>
      <c r="Z293" s="33"/>
      <c r="AA293" s="33"/>
      <c r="AB293" s="33"/>
      <c r="AC293" s="33"/>
      <c r="AD293" s="33"/>
    </row>
    <row r="294" spans="3:47">
      <c r="C294" s="30"/>
      <c r="D294" s="29">
        <v>26</v>
      </c>
      <c r="E294" s="28">
        <f>(AF276-($F$29-AD274)*AF282+($G$29-AF273)*AF281)*$H$29</f>
        <v>0</v>
      </c>
      <c r="F294" s="28">
        <f>(AF277+($E$29-AB274)*AF282-($G$29-AF274)*AF280)*$I$29</f>
        <v>0</v>
      </c>
      <c r="G294" s="28">
        <f>(AF278-($E$29-AB273)*AF281+($F$29-AD273)*AF280)*$J$29</f>
        <v>0</v>
      </c>
      <c r="I294" s="27">
        <f t="shared" si="21"/>
        <v>0</v>
      </c>
      <c r="J294" s="27">
        <f t="shared" si="22"/>
        <v>0</v>
      </c>
      <c r="K294" s="27">
        <f t="shared" si="23"/>
        <v>0</v>
      </c>
      <c r="M294" s="33"/>
      <c r="N294" s="33"/>
      <c r="O294" s="33"/>
      <c r="P294" s="33"/>
      <c r="Q294" s="33"/>
      <c r="R294" s="33"/>
      <c r="S294" s="33"/>
      <c r="U294" s="33"/>
      <c r="V294" s="33"/>
      <c r="W294" s="33"/>
      <c r="X294" s="33"/>
      <c r="Y294" s="33"/>
      <c r="Z294" s="33"/>
      <c r="AA294" s="33"/>
      <c r="AB294" s="33"/>
      <c r="AC294" s="33"/>
      <c r="AD294" s="33"/>
      <c r="AK294" s="31"/>
      <c r="AL294" s="31"/>
    </row>
    <row r="295" spans="3:47">
      <c r="C295" s="30"/>
      <c r="D295" s="29">
        <v>27</v>
      </c>
      <c r="E295" s="28">
        <f>(AF276-($F$30-AD274)*AF282+($G$30-AF273)*AF281)*$H$30</f>
        <v>0</v>
      </c>
      <c r="F295" s="28">
        <f>(AF277+($E$30-AB274)*AF282-($G$30-AF274)*AF280)*$I$30</f>
        <v>0</v>
      </c>
      <c r="G295" s="28">
        <f>(AF278-($E$30-AB273)*AF281+($F$30-AD273)*AF280)*$J$30</f>
        <v>0</v>
      </c>
      <c r="I295" s="27">
        <f t="shared" si="21"/>
        <v>0</v>
      </c>
      <c r="J295" s="27">
        <f t="shared" si="22"/>
        <v>0</v>
      </c>
      <c r="K295" s="27">
        <f t="shared" si="23"/>
        <v>0</v>
      </c>
      <c r="M295" s="31"/>
      <c r="N295" s="32"/>
      <c r="O295" s="32"/>
      <c r="P295" s="32"/>
      <c r="Q295" s="31"/>
      <c r="R295" s="31"/>
      <c r="S295" s="31"/>
      <c r="T295" s="31"/>
      <c r="U295" s="31"/>
      <c r="V295" s="31"/>
      <c r="W295" s="31"/>
      <c r="X295" s="31"/>
      <c r="Y295" s="31"/>
      <c r="Z295" s="31"/>
      <c r="AA295" s="31"/>
      <c r="AB295" s="31"/>
      <c r="AC295" s="31"/>
      <c r="AD295" s="31"/>
      <c r="AE295" s="31"/>
    </row>
    <row r="296" spans="3:47">
      <c r="C296" s="30"/>
      <c r="D296" s="29">
        <v>28</v>
      </c>
      <c r="E296" s="28">
        <f>(AF276-($F$31-AD274)*AF282+($G$31-AF273)*AF281)*$H$31</f>
        <v>0</v>
      </c>
      <c r="F296" s="28">
        <f>(AF277+($E$31-AB274)*AF282-($G$31-AF274)*AF280)*$I$31</f>
        <v>0</v>
      </c>
      <c r="G296" s="28">
        <f>(AF278-($E$31-AB273)*AF281+($F$31-AD273)*AF280)*$J$31</f>
        <v>0</v>
      </c>
      <c r="I296" s="27">
        <f t="shared" si="21"/>
        <v>0</v>
      </c>
      <c r="J296" s="27">
        <f t="shared" si="22"/>
        <v>0</v>
      </c>
      <c r="K296" s="27">
        <f t="shared" si="23"/>
        <v>0</v>
      </c>
    </row>
    <row r="297" spans="3:47">
      <c r="C297" s="30"/>
      <c r="D297" s="29">
        <v>29</v>
      </c>
      <c r="E297" s="28">
        <f>(AF276-($F$32-AD274)*AF282+($G$32-AF273)*AF281)*$H$32</f>
        <v>0</v>
      </c>
      <c r="F297" s="28">
        <f>(AF277+($E$32-AB274)*AF282-($G$32-AF274)*AF280)*$I$32</f>
        <v>0</v>
      </c>
      <c r="G297" s="28">
        <f>(AF278-($E$32-AB273)*AF281+($F$32-AD273)*AF280)*$J$32</f>
        <v>0</v>
      </c>
      <c r="I297" s="27">
        <f t="shared" si="21"/>
        <v>0</v>
      </c>
      <c r="J297" s="27">
        <f t="shared" si="22"/>
        <v>0</v>
      </c>
      <c r="K297" s="27">
        <f t="shared" si="23"/>
        <v>0</v>
      </c>
    </row>
    <row r="299" spans="3:47" ht="15.6">
      <c r="C299" s="52" t="str">
        <f>PURPOSE!C40</f>
        <v>Max vert Gust</v>
      </c>
      <c r="D299" s="51"/>
      <c r="E299" s="51"/>
      <c r="F299" s="51"/>
    </row>
    <row r="300" spans="3:47">
      <c r="AK300" s="31"/>
      <c r="AL300" s="45"/>
    </row>
    <row r="301" spans="3:47" ht="33.6">
      <c r="C301" s="49" t="s">
        <v>98</v>
      </c>
      <c r="D301" s="49" t="s">
        <v>97</v>
      </c>
      <c r="E301" s="49" t="s">
        <v>96</v>
      </c>
      <c r="F301" s="49" t="s">
        <v>95</v>
      </c>
      <c r="G301" s="49" t="s">
        <v>94</v>
      </c>
      <c r="H301" s="50"/>
      <c r="I301" s="49" t="s">
        <v>93</v>
      </c>
      <c r="J301" s="49" t="s">
        <v>92</v>
      </c>
      <c r="K301" s="49" t="s">
        <v>91</v>
      </c>
      <c r="M301" s="49" t="s">
        <v>13</v>
      </c>
      <c r="N301" s="49" t="s">
        <v>90</v>
      </c>
      <c r="O301" s="49" t="s">
        <v>89</v>
      </c>
      <c r="P301" s="49" t="s">
        <v>88</v>
      </c>
      <c r="Q301" s="49" t="s">
        <v>87</v>
      </c>
      <c r="R301" s="49" t="s">
        <v>86</v>
      </c>
      <c r="S301" s="49" t="s">
        <v>85</v>
      </c>
      <c r="T301" s="31"/>
      <c r="U301" s="49" t="s">
        <v>84</v>
      </c>
      <c r="V301" s="49" t="s">
        <v>83</v>
      </c>
      <c r="W301" s="49" t="s">
        <v>82</v>
      </c>
      <c r="X301" s="33"/>
      <c r="Y301" s="34" t="s">
        <v>81</v>
      </c>
      <c r="Z301" s="34">
        <v>1</v>
      </c>
      <c r="AA301" s="33" t="s">
        <v>80</v>
      </c>
      <c r="AB301" s="45">
        <f>SUMPRODUCT($J$4:$J$32,$E$4:$E$32,$F$4:$F$32)</f>
        <v>0</v>
      </c>
      <c r="AC301" s="33" t="s">
        <v>79</v>
      </c>
      <c r="AD301" s="45">
        <f>SUMPRODUCT(H268:H296,F268:F296,G268:G296)</f>
        <v>0</v>
      </c>
      <c r="AE301" s="33" t="s">
        <v>78</v>
      </c>
      <c r="AF301" s="45">
        <f>SUMPRODUCT($I$4:$I$32,$E$4:$E$32,$G$4:$G$32)</f>
        <v>0</v>
      </c>
      <c r="AK301" s="31"/>
    </row>
    <row r="302" spans="3:47">
      <c r="C302" s="30" t="s">
        <v>77</v>
      </c>
      <c r="D302" s="39">
        <v>1</v>
      </c>
      <c r="E302" s="43">
        <f>(AF309-($F$4-AD307)*AF315+($G$4-AF306)*AF314)*$H$4</f>
        <v>0</v>
      </c>
      <c r="F302" s="43">
        <f>(AF310+($E$4-AB307)*AF315-($G$4-AF307)*AF313)*$I$4</f>
        <v>0</v>
      </c>
      <c r="G302" s="43">
        <f>(AF311-($E$4-AB306)*AF314+($F$4-AD306)*AF313)*$J$4</f>
        <v>-49.686792452830332</v>
      </c>
      <c r="H302" s="42"/>
      <c r="I302" s="27">
        <f t="shared" ref="I302:I330" si="24">SQRT(E302^2+F302^2)</f>
        <v>0</v>
      </c>
      <c r="J302" s="27">
        <f t="shared" ref="J302:J330" si="25">SQRT(E302^2+G302^2)</f>
        <v>49.686792452830332</v>
      </c>
      <c r="K302" s="27">
        <f t="shared" ref="K302:K330" si="26">SQRT(F302^2+G302^2)</f>
        <v>49.686792452830332</v>
      </c>
      <c r="M302" s="34">
        <v>1</v>
      </c>
      <c r="N302" s="47">
        <f>N38</f>
        <v>12</v>
      </c>
      <c r="O302" s="47">
        <f>PURPOSE!E25</f>
        <v>0</v>
      </c>
      <c r="P302" s="47">
        <f>P269</f>
        <v>30</v>
      </c>
      <c r="Q302" s="48">
        <f>PURPOSE!E54</f>
        <v>0</v>
      </c>
      <c r="R302" s="48">
        <f>PURPOSE!F54</f>
        <v>0</v>
      </c>
      <c r="S302" s="48">
        <f>PURPOSE!G54</f>
        <v>-2394</v>
      </c>
      <c r="T302" s="31"/>
      <c r="U302" s="34"/>
      <c r="V302" s="34"/>
      <c r="W302" s="34"/>
      <c r="X302" s="33"/>
      <c r="Y302" s="34" t="s">
        <v>76</v>
      </c>
      <c r="Z302" s="34">
        <v>1</v>
      </c>
      <c r="AA302" s="33" t="s">
        <v>75</v>
      </c>
      <c r="AB302" s="45">
        <f>SUMPRODUCT($J$4:$J$32,$E$4:$E$32)</f>
        <v>25.039370078740159</v>
      </c>
      <c r="AC302" s="33" t="s">
        <v>74</v>
      </c>
      <c r="AD302" s="45">
        <f>SUMPRODUCT($J$4:$J$32,$F$4:$F$32)</f>
        <v>0</v>
      </c>
      <c r="AE302" s="33" t="s">
        <v>73</v>
      </c>
      <c r="AF302" s="45">
        <f>SUMPRODUCT($H$4:$H$32,$G$4:$G$32)</f>
        <v>0</v>
      </c>
      <c r="AK302" s="31"/>
    </row>
    <row r="303" spans="3:47">
      <c r="C303" s="30" t="s">
        <v>72</v>
      </c>
      <c r="D303" s="39">
        <v>2</v>
      </c>
      <c r="E303" s="43">
        <f>(AF309-($F$5-AD307)*AF315+($G$5-AF306)*AF314)*$H$5</f>
        <v>0</v>
      </c>
      <c r="F303" s="43">
        <f>(AF310+($E$5-AB307)*AF315-($G$5-AF307)*AF313)*$I$5</f>
        <v>0</v>
      </c>
      <c r="G303" s="43">
        <f>(AF311-($E$5-AB306)*AF314+($F$5-AD306)*AF313)*$J$5</f>
        <v>-49.686792452830332</v>
      </c>
      <c r="H303" s="42"/>
      <c r="I303" s="27">
        <f t="shared" si="24"/>
        <v>0</v>
      </c>
      <c r="J303" s="27">
        <f t="shared" si="25"/>
        <v>49.686792452830332</v>
      </c>
      <c r="K303" s="27">
        <f t="shared" si="26"/>
        <v>49.686792452830332</v>
      </c>
      <c r="M303" s="34">
        <v>2</v>
      </c>
      <c r="N303" s="47"/>
      <c r="O303" s="47"/>
      <c r="P303" s="47"/>
      <c r="Q303" s="47"/>
      <c r="R303" s="46"/>
      <c r="S303" s="46"/>
      <c r="T303" s="31"/>
      <c r="U303" s="34"/>
      <c r="V303" s="34"/>
      <c r="W303" s="34"/>
      <c r="X303" s="33"/>
      <c r="Y303" s="34" t="s">
        <v>71</v>
      </c>
      <c r="Z303" s="34">
        <v>0</v>
      </c>
      <c r="AA303" s="33" t="s">
        <v>70</v>
      </c>
      <c r="AB303" s="45">
        <f>SUMPRODUCT($I$4:$I$32,$E$4:$E$32)</f>
        <v>25.039370078740159</v>
      </c>
      <c r="AC303" s="33" t="s">
        <v>69</v>
      </c>
      <c r="AD303" s="45">
        <f>SUMPRODUCT($H$4:$H$32,$F$4:$F$32)</f>
        <v>0</v>
      </c>
      <c r="AE303" s="33" t="s">
        <v>68</v>
      </c>
      <c r="AF303" s="45">
        <f>SUMPRODUCT($I$4:$I$32,$G$4:$G$32)</f>
        <v>0</v>
      </c>
      <c r="AK303" s="31"/>
    </row>
    <row r="304" spans="3:47">
      <c r="C304" s="30" t="s">
        <v>67</v>
      </c>
      <c r="D304" s="39">
        <v>3</v>
      </c>
      <c r="E304" s="43">
        <f>(AF309-($F$6-AD307)*AF315+($G$6-AF306)*AF314)*$H$6</f>
        <v>0</v>
      </c>
      <c r="F304" s="43">
        <f>(AF310+($E$6-AB307)*AF315-($G$6-AF307)*AF313)*$I$6</f>
        <v>0</v>
      </c>
      <c r="G304" s="43">
        <f>(AF311-($E$6-AB306)*AF314+($F$6-AD306)*AF313)*$J$6</f>
        <v>-1147.3132075471697</v>
      </c>
      <c r="H304" s="42"/>
      <c r="I304" s="27">
        <f t="shared" si="24"/>
        <v>0</v>
      </c>
      <c r="J304" s="27">
        <f t="shared" si="25"/>
        <v>1147.3132075471697</v>
      </c>
      <c r="K304" s="27">
        <f t="shared" si="26"/>
        <v>1147.3132075471697</v>
      </c>
      <c r="M304" s="34">
        <v>3</v>
      </c>
      <c r="N304" s="34"/>
      <c r="O304" s="34"/>
      <c r="P304" s="34"/>
      <c r="Q304" s="34"/>
      <c r="R304" s="34"/>
      <c r="S304" s="34"/>
      <c r="T304" s="31"/>
      <c r="U304" s="34"/>
      <c r="V304" s="34"/>
      <c r="W304" s="34"/>
      <c r="X304" s="33"/>
      <c r="Y304" s="34" t="s">
        <v>66</v>
      </c>
      <c r="Z304" s="34">
        <v>1</v>
      </c>
      <c r="AA304" s="33" t="s">
        <v>65</v>
      </c>
      <c r="AB304" s="45">
        <f>SUMPRODUCT($J$4:$J$32,POWER($E$4:$E$32,2))</f>
        <v>313.48502697005398</v>
      </c>
      <c r="AC304" s="33" t="s">
        <v>64</v>
      </c>
      <c r="AD304" s="45">
        <f>SUMPRODUCT($J$4:$J$32*POWER($F$4:$F$32,2))</f>
        <v>112.995225990452</v>
      </c>
      <c r="AE304" s="33" t="s">
        <v>63</v>
      </c>
      <c r="AF304" s="45">
        <f>SUMPRODUCT($H$4:$H$32,POWER($G$4:$G$32,2))</f>
        <v>0</v>
      </c>
      <c r="AK304" s="31"/>
    </row>
    <row r="305" spans="3:37">
      <c r="C305" s="30" t="s">
        <v>62</v>
      </c>
      <c r="D305" s="39">
        <v>4</v>
      </c>
      <c r="E305" s="43">
        <f>(AF309-($F$7-AD307)*AF315+($G$7-AF306)*AF314)*$H$7</f>
        <v>0</v>
      </c>
      <c r="F305" s="43">
        <f>(AF310+($E$7-AB307)*AF315-($G$7-AF307)*AF313)*$I$7</f>
        <v>0</v>
      </c>
      <c r="G305" s="43">
        <f>(AF311-($E$7-AB306)*AF314+($F$7-AD306)*AF313)*$J$7</f>
        <v>-1147.3132075471697</v>
      </c>
      <c r="H305" s="42"/>
      <c r="I305" s="27">
        <f t="shared" si="24"/>
        <v>0</v>
      </c>
      <c r="J305" s="27">
        <f t="shared" si="25"/>
        <v>1147.3132075471697</v>
      </c>
      <c r="K305" s="27">
        <f t="shared" si="26"/>
        <v>1147.3132075471697</v>
      </c>
      <c r="M305" s="34">
        <v>4</v>
      </c>
      <c r="N305" s="34"/>
      <c r="O305" s="34"/>
      <c r="P305" s="34"/>
      <c r="Q305" s="34"/>
      <c r="R305" s="34"/>
      <c r="S305" s="34"/>
      <c r="T305" s="31"/>
      <c r="U305" s="34"/>
      <c r="V305" s="34"/>
      <c r="W305" s="34"/>
      <c r="X305" s="33"/>
      <c r="Y305" s="34" t="s">
        <v>61</v>
      </c>
      <c r="Z305" s="34">
        <v>1</v>
      </c>
      <c r="AA305" s="33" t="s">
        <v>60</v>
      </c>
      <c r="AB305" s="45">
        <f>SUMPRODUCT($I$4:$I$32,POWER($E$4:$E$32,2))</f>
        <v>313.48502697005398</v>
      </c>
      <c r="AC305" s="33" t="s">
        <v>59</v>
      </c>
      <c r="AD305" s="45">
        <f>SUMPRODUCT($H$4:$H$32,POWER($F$4:$F$32,2))</f>
        <v>112.995225990452</v>
      </c>
      <c r="AE305" s="33" t="s">
        <v>58</v>
      </c>
      <c r="AF305" s="45">
        <f>SUMPRODUCT($I$4:$I$32,POWER($G$4:$G$32,2))</f>
        <v>0</v>
      </c>
      <c r="AK305" s="31"/>
    </row>
    <row r="306" spans="3:37">
      <c r="C306" s="30" t="s">
        <v>57</v>
      </c>
      <c r="D306" s="39">
        <v>5</v>
      </c>
      <c r="E306" s="43">
        <f>(AF309-($F$8-AD307)*AF315+($G$8-AF306)*AF314)*$H$8</f>
        <v>0</v>
      </c>
      <c r="F306" s="43">
        <f>(AF310+($E$8-AB307)*AF315-($G$8-AF307)*AF313)*$I$8</f>
        <v>0</v>
      </c>
      <c r="G306" s="43">
        <f>(AF311-($E$8-AB306)*AF314+($F$8-AD306)*AF313)*$J$8</f>
        <v>0</v>
      </c>
      <c r="H306" s="42"/>
      <c r="I306" s="27">
        <f t="shared" si="24"/>
        <v>0</v>
      </c>
      <c r="J306" s="27">
        <f t="shared" si="25"/>
        <v>0</v>
      </c>
      <c r="K306" s="27">
        <f t="shared" si="26"/>
        <v>0</v>
      </c>
      <c r="M306" s="34">
        <v>5</v>
      </c>
      <c r="N306" s="34"/>
      <c r="O306" s="34"/>
      <c r="P306" s="34"/>
      <c r="Q306" s="34"/>
      <c r="R306" s="34"/>
      <c r="S306" s="34"/>
      <c r="T306" s="31"/>
      <c r="U306" s="34"/>
      <c r="V306" s="34"/>
      <c r="W306" s="34"/>
      <c r="X306" s="33"/>
      <c r="Y306" s="34" t="s">
        <v>56</v>
      </c>
      <c r="Z306" s="34">
        <v>0</v>
      </c>
      <c r="AA306" s="33" t="s">
        <v>55</v>
      </c>
      <c r="AB306" s="45">
        <f>IF(Z311=0,0,AB302/Z311)</f>
        <v>6.2598425196850398</v>
      </c>
      <c r="AC306" s="33" t="s">
        <v>54</v>
      </c>
      <c r="AD306" s="45">
        <f>IF(Z311=0,0,AD302/Z311)</f>
        <v>0</v>
      </c>
      <c r="AE306" s="33" t="s">
        <v>53</v>
      </c>
      <c r="AF306" s="45">
        <f>IF(Z309=0,0,AF302/Z309)</f>
        <v>0</v>
      </c>
      <c r="AK306" s="31"/>
    </row>
    <row r="307" spans="3:37">
      <c r="C307" s="30" t="s">
        <v>52</v>
      </c>
      <c r="D307" s="39">
        <v>6</v>
      </c>
      <c r="E307" s="43">
        <f>(AF309-($F$9-AD307)*AF315+($G$9-AF306)*AF314)*$H$9</f>
        <v>0</v>
      </c>
      <c r="F307" s="43">
        <f>(AF310+($E$9-AB307)*AF315-($G$9-AF307)*AF313)*$I$9</f>
        <v>0</v>
      </c>
      <c r="G307" s="43">
        <f>(AF311-($E$9-AB306)*AF314+($F$9-AD306)*AF313)*$J$9</f>
        <v>0</v>
      </c>
      <c r="H307" s="42"/>
      <c r="I307" s="27">
        <f t="shared" si="24"/>
        <v>0</v>
      </c>
      <c r="J307" s="27">
        <f t="shared" si="25"/>
        <v>0</v>
      </c>
      <c r="K307" s="27">
        <f t="shared" si="26"/>
        <v>0</v>
      </c>
      <c r="M307" s="34">
        <v>6</v>
      </c>
      <c r="N307" s="34"/>
      <c r="O307" s="34"/>
      <c r="P307" s="34"/>
      <c r="Q307" s="34"/>
      <c r="R307" s="34"/>
      <c r="S307" s="34"/>
      <c r="T307" s="31"/>
      <c r="U307" s="34"/>
      <c r="V307" s="34"/>
      <c r="W307" s="34"/>
      <c r="X307" s="33"/>
      <c r="Y307" s="34" t="s">
        <v>12</v>
      </c>
      <c r="Z307" s="34"/>
      <c r="AA307" s="33" t="s">
        <v>51</v>
      </c>
      <c r="AB307" s="45">
        <f>IF(Z310=0,0,AB303/Z310)</f>
        <v>6.2598425196850398</v>
      </c>
      <c r="AC307" s="33" t="s">
        <v>50</v>
      </c>
      <c r="AD307" s="45">
        <f>IF(Z309=0,0,AD303/Z309)</f>
        <v>0</v>
      </c>
      <c r="AE307" s="33" t="s">
        <v>49</v>
      </c>
      <c r="AF307" s="45">
        <f>IF(Z310=0,0,AF303/Z310)</f>
        <v>0</v>
      </c>
      <c r="AK307" s="31"/>
    </row>
    <row r="308" spans="3:37">
      <c r="C308" s="30" t="s">
        <v>48</v>
      </c>
      <c r="D308" s="39">
        <v>7</v>
      </c>
      <c r="E308" s="43">
        <f>(AF309-($F$10-AD307)*AF315+($G$10-AF306)*AF314)*$H$10</f>
        <v>0</v>
      </c>
      <c r="F308" s="43">
        <f>(AF310+($E$10-AB307)*AF315-($G$10-AF307)*AF313)*$I$10</f>
        <v>0</v>
      </c>
      <c r="G308" s="43">
        <f>(AF311-($E$10-AB306)*AF314+($F$10-AD306)*AF313)*$J$10</f>
        <v>0</v>
      </c>
      <c r="H308" s="42"/>
      <c r="I308" s="27">
        <f t="shared" si="24"/>
        <v>0</v>
      </c>
      <c r="J308" s="27">
        <f t="shared" si="25"/>
        <v>0</v>
      </c>
      <c r="K308" s="27">
        <f t="shared" si="26"/>
        <v>0</v>
      </c>
      <c r="M308" s="34">
        <v>7</v>
      </c>
      <c r="N308" s="34"/>
      <c r="O308" s="34"/>
      <c r="P308" s="34"/>
      <c r="Q308" s="34"/>
      <c r="R308" s="34"/>
      <c r="S308" s="34"/>
      <c r="T308" s="31"/>
      <c r="U308" s="34"/>
      <c r="V308" s="34"/>
      <c r="W308" s="34"/>
      <c r="X308" s="33"/>
      <c r="Y308" s="34" t="s">
        <v>47</v>
      </c>
      <c r="Z308" s="34"/>
      <c r="AK308" s="31"/>
    </row>
    <row r="309" spans="3:37">
      <c r="C309" s="30" t="s">
        <v>46</v>
      </c>
      <c r="D309" s="39">
        <v>8</v>
      </c>
      <c r="E309" s="43">
        <f>(AF309-($F$11-AD307)*AF315+($G$11-AF306)*AF314)*$H$11</f>
        <v>0</v>
      </c>
      <c r="F309" s="43">
        <f>(AF310+($E$11-AB307)*AF315-($G$11-AF307)*AF313)*$I$11</f>
        <v>0</v>
      </c>
      <c r="G309" s="43">
        <f>(AF311-($E$11-AB306)*AF314+($F$11-AD306)*AF313)*$J$11</f>
        <v>0</v>
      </c>
      <c r="H309" s="42"/>
      <c r="I309" s="27">
        <f t="shared" si="24"/>
        <v>0</v>
      </c>
      <c r="J309" s="27">
        <f t="shared" si="25"/>
        <v>0</v>
      </c>
      <c r="K309" s="27">
        <f t="shared" si="26"/>
        <v>0</v>
      </c>
      <c r="M309" s="34">
        <v>8</v>
      </c>
      <c r="N309" s="34"/>
      <c r="O309" s="34"/>
      <c r="P309" s="34"/>
      <c r="Q309" s="34"/>
      <c r="R309" s="34"/>
      <c r="S309" s="34"/>
      <c r="T309" s="31"/>
      <c r="U309" s="34"/>
      <c r="V309" s="34"/>
      <c r="W309" s="34"/>
      <c r="X309" s="33"/>
      <c r="Y309" s="34" t="s">
        <v>45</v>
      </c>
      <c r="Z309" s="34">
        <f>SUM($H$4:$H$32)</f>
        <v>4</v>
      </c>
      <c r="AA309" s="33" t="s">
        <v>44</v>
      </c>
      <c r="AB309" s="44">
        <f>SUM(Q302:Q326)</f>
        <v>0</v>
      </c>
      <c r="AC309" s="33" t="s">
        <v>43</v>
      </c>
      <c r="AD309" s="33">
        <f>SUM(U302:U326,SUMPRODUCT(S302:S326,(O302:O326-AD306)),-SUMPRODUCT(R302:R326,(P302:P326-AF307)))</f>
        <v>0</v>
      </c>
      <c r="AE309" s="26" t="s">
        <v>42</v>
      </c>
      <c r="AF309" s="26">
        <f>IF(Z309=0,0,AB309/Z309)</f>
        <v>0</v>
      </c>
      <c r="AK309" s="31"/>
    </row>
    <row r="310" spans="3:37">
      <c r="C310" s="30" t="s">
        <v>41</v>
      </c>
      <c r="D310" s="39">
        <v>9</v>
      </c>
      <c r="E310" s="43">
        <f>(AF309-($F$12-AD307)*AF315+($G$12-AF306)*AF314)*$H$12</f>
        <v>0</v>
      </c>
      <c r="F310" s="43">
        <f>(AF310+($E$12-AB307)*AF315-($G$12-AF307)*AF313)*$I$12</f>
        <v>0</v>
      </c>
      <c r="G310" s="43">
        <f>(AF311-($E$12-AB306)*AF314+($F$12-AD306)*AF313)*$J$12</f>
        <v>0</v>
      </c>
      <c r="H310" s="42"/>
      <c r="I310" s="27">
        <f t="shared" si="24"/>
        <v>0</v>
      </c>
      <c r="J310" s="27">
        <f t="shared" si="25"/>
        <v>0</v>
      </c>
      <c r="K310" s="27">
        <f t="shared" si="26"/>
        <v>0</v>
      </c>
      <c r="M310" s="34">
        <v>9</v>
      </c>
      <c r="N310" s="34"/>
      <c r="O310" s="34"/>
      <c r="P310" s="34"/>
      <c r="Q310" s="34"/>
      <c r="R310" s="34"/>
      <c r="S310" s="34"/>
      <c r="T310" s="31"/>
      <c r="U310" s="34"/>
      <c r="V310" s="34"/>
      <c r="W310" s="34"/>
      <c r="X310" s="33"/>
      <c r="Y310" s="34" t="s">
        <v>40</v>
      </c>
      <c r="Z310" s="34">
        <f>SUM($I$4:$I$32)</f>
        <v>4</v>
      </c>
      <c r="AA310" s="33" t="s">
        <v>39</v>
      </c>
      <c r="AB310" s="33">
        <f>SUM(R302:R326)</f>
        <v>0</v>
      </c>
      <c r="AC310" s="33" t="s">
        <v>38</v>
      </c>
      <c r="AD310" s="33">
        <f>SUM(V302:V326,SUMPRODUCT(Q302:Q326,(P302:P326-AF306)),-SUMPRODUCT(S302:S326,(N302:N326-AB306)))</f>
        <v>13741.937007874014</v>
      </c>
      <c r="AE310" s="26" t="s">
        <v>37</v>
      </c>
      <c r="AF310" s="26">
        <f>IF(Z310=0,0,AB310/Z310)</f>
        <v>0</v>
      </c>
      <c r="AK310" s="31"/>
    </row>
    <row r="311" spans="3:37">
      <c r="C311" s="30"/>
      <c r="D311" s="39">
        <v>10</v>
      </c>
      <c r="E311" s="43">
        <f>(AF309-($F$13-AD307)*AF315+($G$13-AF306)*AF314)*$H$13</f>
        <v>0</v>
      </c>
      <c r="F311" s="43">
        <f>(AF310+($E$13-AB307)*AF315-($G$13-AF307)*AF313)*$I$13</f>
        <v>0</v>
      </c>
      <c r="G311" s="43">
        <f>(AF311-($E$13-AB306)*AF314+($F$13-AD306)*AF313)*$J$13</f>
        <v>0</v>
      </c>
      <c r="H311" s="42"/>
      <c r="I311" s="27">
        <f t="shared" si="24"/>
        <v>0</v>
      </c>
      <c r="J311" s="27">
        <f t="shared" si="25"/>
        <v>0</v>
      </c>
      <c r="K311" s="27">
        <f t="shared" si="26"/>
        <v>0</v>
      </c>
      <c r="M311" s="34">
        <v>10</v>
      </c>
      <c r="N311" s="34"/>
      <c r="O311" s="34"/>
      <c r="P311" s="34"/>
      <c r="Q311" s="34"/>
      <c r="R311" s="34"/>
      <c r="S311" s="34"/>
      <c r="T311" s="31"/>
      <c r="U311" s="34"/>
      <c r="V311" s="34"/>
      <c r="W311" s="34"/>
      <c r="X311" s="33"/>
      <c r="Y311" s="34" t="s">
        <v>36</v>
      </c>
      <c r="Z311" s="34">
        <f>SUM($J$4:$J$32)</f>
        <v>4</v>
      </c>
      <c r="AA311" s="33" t="s">
        <v>35</v>
      </c>
      <c r="AB311" s="33">
        <f>SUM(S302:S326)</f>
        <v>-2394</v>
      </c>
      <c r="AC311" s="33" t="s">
        <v>34</v>
      </c>
      <c r="AD311" s="33">
        <f>SUM(W302:W326,SUMPRODUCT(R302:R326,(N302:N326-AB307)),-SUMPRODUCT(Q302:Q326,(O302:O326-AD307)))</f>
        <v>0</v>
      </c>
      <c r="AE311" s="26" t="s">
        <v>33</v>
      </c>
      <c r="AF311" s="26">
        <f>IF(Z311=0,0,AB311/Z311)</f>
        <v>-598.5</v>
      </c>
      <c r="AK311" s="31"/>
    </row>
    <row r="312" spans="3:37">
      <c r="C312" s="30"/>
      <c r="D312" s="39">
        <v>11</v>
      </c>
      <c r="E312" s="43">
        <f>(AF309-($F$14-AD307)*AF315+($G$14-AF306)*AF314)*$H$14</f>
        <v>0</v>
      </c>
      <c r="F312" s="43">
        <f>(AF310+($E$14-AB307)*AF315-($G$14-AF307)*AF313)*$I$14</f>
        <v>0</v>
      </c>
      <c r="G312" s="43">
        <f>(AF311-($E$14-AB306)*AF314+($F$14-AD306)*AF313)*$J$14</f>
        <v>0</v>
      </c>
      <c r="H312" s="42"/>
      <c r="I312" s="27">
        <f t="shared" si="24"/>
        <v>0</v>
      </c>
      <c r="J312" s="27">
        <f t="shared" si="25"/>
        <v>0</v>
      </c>
      <c r="K312" s="27">
        <f t="shared" si="26"/>
        <v>0</v>
      </c>
      <c r="M312" s="34">
        <v>11</v>
      </c>
      <c r="N312" s="34"/>
      <c r="O312" s="34"/>
      <c r="P312" s="34"/>
      <c r="Q312" s="34"/>
      <c r="R312" s="34"/>
      <c r="S312" s="34"/>
      <c r="T312" s="31"/>
      <c r="U312" s="34"/>
      <c r="V312" s="34"/>
      <c r="W312" s="34"/>
      <c r="X312" s="33"/>
      <c r="AK312" s="31"/>
    </row>
    <row r="313" spans="3:37">
      <c r="C313" s="30"/>
      <c r="D313" s="39">
        <v>12</v>
      </c>
      <c r="E313" s="28">
        <f>(AF309-($F$15-AD307)*AF315+($G$15-AF306)*AF314)*$H$15</f>
        <v>0</v>
      </c>
      <c r="F313" s="28">
        <f>(AF310+($E$15-AB307)*AF315-($G$15-AF307)*AF313)*$I$15</f>
        <v>0</v>
      </c>
      <c r="G313" s="28">
        <f>(AF311-($E$15-AB306)*AF314+($F$15-AD306)*AF313)*$J$15</f>
        <v>0</v>
      </c>
      <c r="I313" s="27">
        <f t="shared" si="24"/>
        <v>0</v>
      </c>
      <c r="J313" s="27">
        <f t="shared" si="25"/>
        <v>0</v>
      </c>
      <c r="K313" s="27">
        <f t="shared" si="26"/>
        <v>0</v>
      </c>
      <c r="M313" s="34">
        <v>12</v>
      </c>
      <c r="N313" s="34"/>
      <c r="O313" s="34"/>
      <c r="P313" s="34"/>
      <c r="Q313" s="34"/>
      <c r="R313" s="34"/>
      <c r="S313" s="34"/>
      <c r="T313" s="31"/>
      <c r="U313" s="34"/>
      <c r="V313" s="34"/>
      <c r="W313" s="34"/>
      <c r="X313" s="33"/>
      <c r="Y313" s="36">
        <v>1</v>
      </c>
      <c r="Z313" s="38">
        <f>AF305+AD304-Z311*AD306^2-Z310*AF307^2</f>
        <v>112.995225990452</v>
      </c>
      <c r="AA313" s="35">
        <v>1</v>
      </c>
      <c r="AB313" s="26">
        <f>Z315*Z314^2-Z314*Z317^2</f>
        <v>6626974.9209806556</v>
      </c>
      <c r="AC313" s="37">
        <v>1</v>
      </c>
      <c r="AD313" s="26">
        <f>Z315*Z314-Z317^2</f>
        <v>42279.371267155962</v>
      </c>
      <c r="AE313" s="40">
        <v>1</v>
      </c>
      <c r="AF313" s="26">
        <f>IF(Z313=0,0,IF(Z314=0,AD309/Z315,IF(Z315=0,AD309/Z314,(AD309*AB313+AD310*AB314+AD311*AB315)/(AD313*AD314-AD315))))</f>
        <v>0</v>
      </c>
      <c r="AK313" s="31"/>
    </row>
    <row r="314" spans="3:37">
      <c r="C314" s="30"/>
      <c r="D314" s="39">
        <v>13</v>
      </c>
      <c r="E314" s="28">
        <f>(AF309-($F$16-AD307)*AF315+($G$16-AF306)*AF314)*$H$16</f>
        <v>0</v>
      </c>
      <c r="F314" s="28">
        <f>(AF310+($E$16-AB307)*AF315-($G$16-AF307)*AF313)*$I$16</f>
        <v>0</v>
      </c>
      <c r="G314" s="28">
        <f>(AF311-($E$16-AB306)*AF314+($F$16-AD306)*AF313)*$J$16</f>
        <v>0</v>
      </c>
      <c r="I314" s="27">
        <f t="shared" si="24"/>
        <v>0</v>
      </c>
      <c r="J314" s="27">
        <f t="shared" si="25"/>
        <v>0</v>
      </c>
      <c r="K314" s="27">
        <f t="shared" si="26"/>
        <v>0</v>
      </c>
      <c r="M314" s="34">
        <v>13</v>
      </c>
      <c r="N314" s="34"/>
      <c r="O314" s="34"/>
      <c r="P314" s="34"/>
      <c r="Q314" s="34"/>
      <c r="R314" s="34"/>
      <c r="S314" s="34"/>
      <c r="T314" s="31"/>
      <c r="U314" s="34"/>
      <c r="V314" s="34"/>
      <c r="W314" s="34"/>
      <c r="X314" s="33"/>
      <c r="Y314" s="36">
        <v>2</v>
      </c>
      <c r="Z314" s="38">
        <f>AF304+AB304-Z311*AB306^2-Z309*AF306^2</f>
        <v>156.74251348502699</v>
      </c>
      <c r="AA314" s="35">
        <v>2</v>
      </c>
      <c r="AB314" s="41">
        <f>Z314*Z315*Z316+Z314*Z317*Z318</f>
        <v>0</v>
      </c>
      <c r="AC314" s="37">
        <v>2</v>
      </c>
      <c r="AD314" s="26">
        <f>Z313*Z314-Z316^2</f>
        <v>17711.155733552096</v>
      </c>
      <c r="AE314" s="40">
        <v>2</v>
      </c>
      <c r="AF314" s="26">
        <f>IF(Z313=0,AD310/Z315,IF(Z314=0,0,IF(Z315=0,AD310/Z313,(AD310*AB316+AD309*AB317+AD311*AB318)/(AD316*AD314-AD318))))</f>
        <v>87.67204699181201</v>
      </c>
      <c r="AK314" s="31"/>
    </row>
    <row r="315" spans="3:37">
      <c r="C315" s="30"/>
      <c r="D315" s="39">
        <v>14</v>
      </c>
      <c r="E315" s="28">
        <f>(AF309-($F$17-AD307)*AF315+($G$17-AF306)*AF314)*$H$17</f>
        <v>0</v>
      </c>
      <c r="F315" s="28">
        <f>(AF310+($E$17-AB307)*AF315-($G$17-AF307)*AF313)*$I$17</f>
        <v>0</v>
      </c>
      <c r="G315" s="28">
        <f>(AF311-($E$17-AB306)*AF314+($F$17-AD306)*AF313)*$J$17</f>
        <v>0</v>
      </c>
      <c r="I315" s="27">
        <f t="shared" si="24"/>
        <v>0</v>
      </c>
      <c r="J315" s="27">
        <f t="shared" si="25"/>
        <v>0</v>
      </c>
      <c r="K315" s="27">
        <f t="shared" si="26"/>
        <v>0</v>
      </c>
      <c r="M315" s="34">
        <v>14</v>
      </c>
      <c r="N315" s="34"/>
      <c r="O315" s="34"/>
      <c r="P315" s="34"/>
      <c r="Q315" s="34"/>
      <c r="R315" s="34"/>
      <c r="S315" s="34"/>
      <c r="T315" s="31"/>
      <c r="U315" s="34"/>
      <c r="V315" s="34"/>
      <c r="W315" s="34"/>
      <c r="X315" s="33"/>
      <c r="Y315" s="36">
        <v>3</v>
      </c>
      <c r="Z315" s="38">
        <f>AD305+AB305-Z310*AB307^2-Z309*AD307^2</f>
        <v>269.73773947547897</v>
      </c>
      <c r="AA315" s="35">
        <v>3</v>
      </c>
      <c r="AB315" s="26">
        <f>Z318*Z314^2+Z314*Z316*Z317</f>
        <v>0</v>
      </c>
      <c r="AC315" s="37">
        <v>3</v>
      </c>
      <c r="AD315" s="26">
        <f>(Z314*Z318+Z316*Z317)^2</f>
        <v>0</v>
      </c>
      <c r="AE315" s="40">
        <v>3</v>
      </c>
      <c r="AF315" s="38">
        <f>IF(Z313=0,AD311/Z314,IF(Z314=0,AD311/Z313,IF(Z315=0,0,(AD311*AB319+AD309*AB320+AD310*AB318)/(AD314*AD316-AD318))))</f>
        <v>0</v>
      </c>
    </row>
    <row r="316" spans="3:37">
      <c r="C316" s="30"/>
      <c r="D316" s="39">
        <v>15</v>
      </c>
      <c r="E316" s="28">
        <f>(AF309-($F$18-AD307)*AF315+($G$18-AF306)*AF314)*$H$18</f>
        <v>0</v>
      </c>
      <c r="F316" s="28">
        <f>(AF310+($E$18-AB307)*AF315-($G$18-AF307)*AF313)*$I$18</f>
        <v>0</v>
      </c>
      <c r="G316" s="28">
        <f>(AF311-($E$18-AB306)*AF314+($F$18-AD306)*AF313)*$J$18</f>
        <v>0</v>
      </c>
      <c r="I316" s="27">
        <f t="shared" si="24"/>
        <v>0</v>
      </c>
      <c r="J316" s="27">
        <f t="shared" si="25"/>
        <v>0</v>
      </c>
      <c r="K316" s="27">
        <f t="shared" si="26"/>
        <v>0</v>
      </c>
      <c r="M316" s="34">
        <v>15</v>
      </c>
      <c r="N316" s="34"/>
      <c r="O316" s="34"/>
      <c r="P316" s="34"/>
      <c r="Q316" s="34"/>
      <c r="R316" s="34"/>
      <c r="S316" s="34"/>
      <c r="T316" s="31"/>
      <c r="U316" s="34"/>
      <c r="V316" s="34"/>
      <c r="W316" s="34"/>
      <c r="X316" s="33"/>
      <c r="Y316" s="36">
        <v>4</v>
      </c>
      <c r="Z316" s="38">
        <f>AB301-AD306*AB306*Z311</f>
        <v>0</v>
      </c>
      <c r="AA316" s="35">
        <v>4</v>
      </c>
      <c r="AB316" s="26">
        <f>Z315*Z313^2-Z313*Z318^2</f>
        <v>3443990.1744071501</v>
      </c>
      <c r="AC316" s="37">
        <v>4</v>
      </c>
      <c r="AD316" s="26">
        <f>Z315*Z313-Z318^2</f>
        <v>30479.076830185411</v>
      </c>
    </row>
    <row r="317" spans="3:37">
      <c r="C317" s="30"/>
      <c r="D317" s="29">
        <v>16</v>
      </c>
      <c r="E317" s="28">
        <f>(AF309-($F$19-AD307)*AF315+($G$19-AF306)*AF314)*$H$19</f>
        <v>0</v>
      </c>
      <c r="F317" s="28">
        <f>(AF310+($E$19-AB307)*AF315-($G$19-AF307)*AF313)*$I$19</f>
        <v>0</v>
      </c>
      <c r="G317" s="28">
        <f>(AF311-($E$19-AB306)*AF314+($F$19-AD306)*AF313)*$J$19</f>
        <v>0</v>
      </c>
      <c r="I317" s="27">
        <f t="shared" si="24"/>
        <v>0</v>
      </c>
      <c r="J317" s="27">
        <f t="shared" si="25"/>
        <v>0</v>
      </c>
      <c r="K317" s="27">
        <f t="shared" si="26"/>
        <v>0</v>
      </c>
      <c r="M317" s="34">
        <v>16</v>
      </c>
      <c r="N317" s="34"/>
      <c r="O317" s="34"/>
      <c r="P317" s="34"/>
      <c r="Q317" s="34"/>
      <c r="R317" s="34"/>
      <c r="S317" s="34"/>
      <c r="T317" s="31"/>
      <c r="U317" s="34"/>
      <c r="V317" s="34"/>
      <c r="W317" s="34"/>
      <c r="X317" s="33"/>
      <c r="Y317" s="36">
        <v>5</v>
      </c>
      <c r="Z317" s="38">
        <f>AD301-AD307*AF306*Z309</f>
        <v>0</v>
      </c>
      <c r="AA317" s="35">
        <v>5</v>
      </c>
      <c r="AB317" s="26">
        <f>Z313*Z315*Z316+Z313*Z317*Z318</f>
        <v>0</v>
      </c>
      <c r="AC317" s="37"/>
    </row>
    <row r="318" spans="3:37">
      <c r="C318" s="30"/>
      <c r="D318" s="29">
        <v>17</v>
      </c>
      <c r="E318" s="28">
        <f>(AF309-($F$20-AD307)*AF315+($G$20-AF306)*AF314)*$H$20</f>
        <v>0</v>
      </c>
      <c r="F318" s="28">
        <f>(AF310+($E$20-AB307)*AF315-($G$20-AF307)*AF313)*$I$20</f>
        <v>0</v>
      </c>
      <c r="G318" s="28">
        <f>(AF311-($E$20-AB306)*AF314+($F$20-AD306)*AF313)*$J$20</f>
        <v>0</v>
      </c>
      <c r="I318" s="27">
        <f t="shared" si="24"/>
        <v>0</v>
      </c>
      <c r="J318" s="27">
        <f t="shared" si="25"/>
        <v>0</v>
      </c>
      <c r="K318" s="27">
        <f t="shared" si="26"/>
        <v>0</v>
      </c>
      <c r="M318" s="34">
        <v>17</v>
      </c>
      <c r="N318" s="34"/>
      <c r="O318" s="34"/>
      <c r="P318" s="34"/>
      <c r="Q318" s="34"/>
      <c r="R318" s="34"/>
      <c r="S318" s="34"/>
      <c r="T318" s="31"/>
      <c r="U318" s="34"/>
      <c r="V318" s="34"/>
      <c r="W318" s="34"/>
      <c r="X318" s="33"/>
      <c r="Y318" s="36">
        <v>6</v>
      </c>
      <c r="Z318" s="38">
        <f>AF301-AB307*AF307*Z310</f>
        <v>0</v>
      </c>
      <c r="AA318" s="35">
        <v>6</v>
      </c>
      <c r="AB318" s="26">
        <f>Z317*Z313^2+Z313*Z316*Z318</f>
        <v>0</v>
      </c>
      <c r="AC318" s="37">
        <v>6</v>
      </c>
      <c r="AD318" s="26">
        <f>(Z313*Z317+Z316*Z318)^2</f>
        <v>0</v>
      </c>
    </row>
    <row r="319" spans="3:37">
      <c r="C319" s="30"/>
      <c r="D319" s="29">
        <v>18</v>
      </c>
      <c r="E319" s="28">
        <f>(AF309-($F$21-AD307)*AF315+($G$21-AF306)*AF314)*$H$21</f>
        <v>0</v>
      </c>
      <c r="F319" s="28">
        <f>(AF310+($E$21-AB307)*AF315-($G$21-AF307)*AF313)*$I$21</f>
        <v>0</v>
      </c>
      <c r="G319" s="28">
        <f>(AF311-($E$21-AB306)*AF314+($F$21-AD306)*AF313)*$J$21</f>
        <v>0</v>
      </c>
      <c r="I319" s="27">
        <f t="shared" si="24"/>
        <v>0</v>
      </c>
      <c r="J319" s="27">
        <f t="shared" si="25"/>
        <v>0</v>
      </c>
      <c r="K319" s="27">
        <f t="shared" si="26"/>
        <v>0</v>
      </c>
      <c r="M319" s="34">
        <v>18</v>
      </c>
      <c r="N319" s="34"/>
      <c r="O319" s="34"/>
      <c r="P319" s="34"/>
      <c r="Q319" s="34"/>
      <c r="R319" s="34"/>
      <c r="S319" s="34"/>
      <c r="T319" s="31"/>
      <c r="U319" s="34"/>
      <c r="V319" s="34"/>
      <c r="W319" s="34"/>
      <c r="X319" s="33"/>
      <c r="Y319" s="36"/>
      <c r="AA319" s="35">
        <v>7</v>
      </c>
      <c r="AB319" s="26">
        <f>Z314*Z313^2-Z313*Z316^2</f>
        <v>2001276.0446648085</v>
      </c>
    </row>
    <row r="320" spans="3:37">
      <c r="C320" s="30"/>
      <c r="D320" s="29">
        <v>19</v>
      </c>
      <c r="E320" s="28">
        <f>(AF309-($F$22-AD307)*AF315+($G$22-AF306)*AF314)*$H$22</f>
        <v>0</v>
      </c>
      <c r="F320" s="28">
        <f>(AF310+($E$22-AB307)*AF315-($G$22-AF307)*AF313)*$I$22</f>
        <v>0</v>
      </c>
      <c r="G320" s="28">
        <f>(AF311-($E$22-AB306)*AF314+($F$22-AD306)*AF313)*$J$22</f>
        <v>0</v>
      </c>
      <c r="I320" s="27">
        <f t="shared" si="24"/>
        <v>0</v>
      </c>
      <c r="J320" s="27">
        <f t="shared" si="25"/>
        <v>0</v>
      </c>
      <c r="K320" s="27">
        <f t="shared" si="26"/>
        <v>0</v>
      </c>
      <c r="M320" s="34">
        <v>19</v>
      </c>
      <c r="N320" s="34"/>
      <c r="O320" s="34"/>
      <c r="P320" s="34"/>
      <c r="Q320" s="34"/>
      <c r="R320" s="34"/>
      <c r="S320" s="34"/>
      <c r="T320" s="31"/>
      <c r="U320" s="34"/>
      <c r="V320" s="34"/>
      <c r="W320" s="34"/>
      <c r="X320" s="33"/>
      <c r="AA320" s="35">
        <v>8</v>
      </c>
      <c r="AB320" s="26">
        <f>Z313*Z314*Z318+Z313*Z317*Z316</f>
        <v>0</v>
      </c>
    </row>
    <row r="321" spans="3:47">
      <c r="C321" s="30"/>
      <c r="D321" s="29">
        <v>20</v>
      </c>
      <c r="E321" s="28">
        <f>(AF309-($F$23-AD307)*AF315+($G$23-AF306)*AF314)*$H$23</f>
        <v>0</v>
      </c>
      <c r="F321" s="28">
        <f>(AF310+($E$23-AB307)*AF315-($G$23-AF307)*AF313)*$I$23</f>
        <v>0</v>
      </c>
      <c r="G321" s="28">
        <f>(AF311-($E$23-AB306)*AF314+($F$23-AD306)*AF313)*$J$23</f>
        <v>0</v>
      </c>
      <c r="I321" s="27">
        <f t="shared" si="24"/>
        <v>0</v>
      </c>
      <c r="J321" s="27">
        <f t="shared" si="25"/>
        <v>0</v>
      </c>
      <c r="K321" s="27">
        <f t="shared" si="26"/>
        <v>0</v>
      </c>
      <c r="M321" s="34">
        <v>20</v>
      </c>
      <c r="N321" s="34"/>
      <c r="O321" s="34"/>
      <c r="P321" s="34"/>
      <c r="Q321" s="34"/>
      <c r="R321" s="34"/>
      <c r="S321" s="34"/>
      <c r="T321" s="31"/>
      <c r="U321" s="34"/>
      <c r="V321" s="34"/>
      <c r="W321" s="34"/>
      <c r="X321" s="33"/>
      <c r="Y321" s="33"/>
      <c r="Z321" s="33"/>
      <c r="AA321" s="33"/>
      <c r="AB321" s="33"/>
      <c r="AC321" s="33"/>
      <c r="AD321" s="33"/>
    </row>
    <row r="322" spans="3:47">
      <c r="C322" s="30"/>
      <c r="D322" s="29">
        <v>21</v>
      </c>
      <c r="E322" s="28">
        <f>(AF309-($F$24-AD307)*AF315+($G$24-AF306)*AF314)*$H$24</f>
        <v>0</v>
      </c>
      <c r="F322" s="28">
        <f>(AF310+($E$24-AB307)*AF315-($G$24-AF307)*AF313)*$I$24</f>
        <v>0</v>
      </c>
      <c r="G322" s="28">
        <f>(AF311-($E$24-AB306)*AF314+($F$24-AD306)*AF313)*$J$24</f>
        <v>0</v>
      </c>
      <c r="I322" s="27">
        <f t="shared" si="24"/>
        <v>0</v>
      </c>
      <c r="J322" s="27">
        <f t="shared" si="25"/>
        <v>0</v>
      </c>
      <c r="K322" s="27">
        <f t="shared" si="26"/>
        <v>0</v>
      </c>
      <c r="M322" s="34">
        <v>21</v>
      </c>
      <c r="N322" s="34"/>
      <c r="O322" s="34"/>
      <c r="P322" s="34"/>
      <c r="Q322" s="34"/>
      <c r="R322" s="34"/>
      <c r="S322" s="34"/>
      <c r="T322" s="31"/>
      <c r="U322" s="34"/>
      <c r="V322" s="34"/>
      <c r="W322" s="34"/>
      <c r="X322" s="33"/>
      <c r="Y322" s="33"/>
      <c r="Z322" s="33"/>
      <c r="AA322" s="33"/>
      <c r="AB322" s="33"/>
      <c r="AC322" s="33"/>
      <c r="AD322" s="33"/>
    </row>
    <row r="323" spans="3:47">
      <c r="C323" s="30"/>
      <c r="D323" s="29">
        <v>22</v>
      </c>
      <c r="E323" s="28">
        <f>(AF309-($F$25-AD307)*AF315+($G$25-AF306)*AF314)*$H$25</f>
        <v>0</v>
      </c>
      <c r="F323" s="28">
        <f>(AF310+($E$25-AB307)*AF315-($G$25-AF307)*AF313)*$I$25</f>
        <v>0</v>
      </c>
      <c r="G323" s="28">
        <f>(AF311-($E$25-AB306)*AF314+($F$25-AD306)*AF313)*$J$25</f>
        <v>0</v>
      </c>
      <c r="I323" s="27">
        <f t="shared" si="24"/>
        <v>0</v>
      </c>
      <c r="J323" s="27">
        <f t="shared" si="25"/>
        <v>0</v>
      </c>
      <c r="K323" s="27">
        <f t="shared" si="26"/>
        <v>0</v>
      </c>
      <c r="M323" s="34">
        <v>22</v>
      </c>
      <c r="N323" s="34"/>
      <c r="O323" s="34"/>
      <c r="P323" s="34"/>
      <c r="Q323" s="34"/>
      <c r="R323" s="34"/>
      <c r="S323" s="34"/>
      <c r="T323" s="31"/>
      <c r="U323" s="34"/>
      <c r="V323" s="34"/>
      <c r="W323" s="34"/>
      <c r="X323" s="33"/>
      <c r="Y323" s="33"/>
      <c r="Z323" s="33"/>
      <c r="AA323" s="33"/>
      <c r="AB323" s="33"/>
      <c r="AC323" s="33"/>
      <c r="AD323" s="33"/>
    </row>
    <row r="324" spans="3:47">
      <c r="C324" s="30"/>
      <c r="D324" s="29">
        <v>23</v>
      </c>
      <c r="E324" s="28">
        <f>(AF309-($F$26-AD307)*AF315+($G$26-AF306)*AF314)*$H$26</f>
        <v>0</v>
      </c>
      <c r="F324" s="28">
        <f>(AF310+($E$26-AB307)*AF315-($G$26-AF307)*AF313)*$I$26</f>
        <v>0</v>
      </c>
      <c r="G324" s="28">
        <f>(AF311-($E$26-AB306)*AF314+($F$26-AD306)*AF313)*$J$26</f>
        <v>0</v>
      </c>
      <c r="I324" s="27">
        <f t="shared" si="24"/>
        <v>0</v>
      </c>
      <c r="J324" s="27">
        <f t="shared" si="25"/>
        <v>0</v>
      </c>
      <c r="K324" s="27">
        <f t="shared" si="26"/>
        <v>0</v>
      </c>
      <c r="M324" s="34">
        <v>23</v>
      </c>
      <c r="N324" s="34"/>
      <c r="O324" s="34"/>
      <c r="P324" s="34"/>
      <c r="Q324" s="34"/>
      <c r="R324" s="34"/>
      <c r="S324" s="34"/>
      <c r="T324" s="31"/>
      <c r="U324" s="34"/>
      <c r="V324" s="34"/>
      <c r="W324" s="34"/>
      <c r="X324" s="33"/>
      <c r="Y324" s="33"/>
      <c r="Z324" s="33"/>
      <c r="AA324" s="33"/>
      <c r="AB324" s="33"/>
      <c r="AC324" s="33"/>
      <c r="AD324" s="33"/>
    </row>
    <row r="325" spans="3:47">
      <c r="C325" s="30"/>
      <c r="D325" s="29">
        <v>24</v>
      </c>
      <c r="E325" s="28">
        <f>(AF309-($F$27-AD307)*AF315+($G$27-AF306)*AF314)*$H$27</f>
        <v>0</v>
      </c>
      <c r="F325" s="28">
        <f>(AF310+($E$27-AB307)*AF315-($G$27-AF307)*AF313)*$I$27</f>
        <v>0</v>
      </c>
      <c r="G325" s="28">
        <f>(AF311-($E$27-AB306)*AF314+($F$27-AD306)*AF313)*$J$27</f>
        <v>0</v>
      </c>
      <c r="I325" s="27">
        <f t="shared" si="24"/>
        <v>0</v>
      </c>
      <c r="J325" s="27">
        <f t="shared" si="25"/>
        <v>0</v>
      </c>
      <c r="K325" s="27">
        <f t="shared" si="26"/>
        <v>0</v>
      </c>
      <c r="L325" s="31"/>
      <c r="M325" s="34">
        <v>24</v>
      </c>
      <c r="N325" s="34"/>
      <c r="O325" s="34"/>
      <c r="P325" s="34"/>
      <c r="Q325" s="34"/>
      <c r="R325" s="34"/>
      <c r="S325" s="34"/>
      <c r="T325" s="31"/>
      <c r="U325" s="34"/>
      <c r="V325" s="34"/>
      <c r="W325" s="34"/>
      <c r="X325" s="33"/>
      <c r="Y325" s="33"/>
      <c r="Z325" s="33"/>
      <c r="AA325" s="33"/>
      <c r="AB325" s="33"/>
      <c r="AC325" s="33"/>
      <c r="AD325" s="33"/>
      <c r="AF325" s="31"/>
      <c r="AG325" s="31"/>
      <c r="AH325" s="31"/>
      <c r="AI325" s="31"/>
      <c r="AJ325" s="31"/>
      <c r="AM325" s="31"/>
      <c r="AN325" s="31"/>
      <c r="AO325" s="31"/>
      <c r="AP325" s="31"/>
      <c r="AQ325" s="31"/>
      <c r="AR325" s="31"/>
      <c r="AS325" s="31"/>
      <c r="AT325" s="31"/>
      <c r="AU325" s="31"/>
    </row>
    <row r="326" spans="3:47">
      <c r="C326" s="30"/>
      <c r="D326" s="29">
        <v>25</v>
      </c>
      <c r="E326" s="28">
        <f>(AF309-($F$28-AD307)*AF315+($G$28-AF306)*AF314)*$H$28</f>
        <v>0</v>
      </c>
      <c r="F326" s="28">
        <f>(AF310+($E$28-AB307)*AF315-($G$28-AF307)*AF313)*$I$28</f>
        <v>0</v>
      </c>
      <c r="G326" s="28">
        <f>(AF311-($E$28-AB306)*AF314+($F$28-AD306)*AF313)*$J$28</f>
        <v>0</v>
      </c>
      <c r="I326" s="27">
        <f t="shared" si="24"/>
        <v>0</v>
      </c>
      <c r="J326" s="27">
        <f t="shared" si="25"/>
        <v>0</v>
      </c>
      <c r="K326" s="27">
        <f t="shared" si="26"/>
        <v>0</v>
      </c>
      <c r="M326" s="34">
        <v>25</v>
      </c>
      <c r="N326" s="34"/>
      <c r="O326" s="34"/>
      <c r="P326" s="34"/>
      <c r="Q326" s="34"/>
      <c r="R326" s="34"/>
      <c r="S326" s="34"/>
      <c r="T326" s="31"/>
      <c r="U326" s="34"/>
      <c r="V326" s="34"/>
      <c r="W326" s="34"/>
      <c r="X326" s="33"/>
      <c r="Y326" s="33"/>
      <c r="Z326" s="33"/>
      <c r="AA326" s="33"/>
      <c r="AB326" s="33"/>
      <c r="AC326" s="33"/>
      <c r="AD326" s="33"/>
    </row>
    <row r="327" spans="3:47">
      <c r="C327" s="30"/>
      <c r="D327" s="29">
        <v>26</v>
      </c>
      <c r="E327" s="28">
        <f>(AF309-($F$29-AD307)*AF315+($G$29-AF306)*AF314)*$H$29</f>
        <v>0</v>
      </c>
      <c r="F327" s="28">
        <f>(AF310+($E$29-AB307)*AF315-($G$29-AF307)*AF313)*$I$29</f>
        <v>0</v>
      </c>
      <c r="G327" s="28">
        <f>(AF311-($E$29-AB306)*AF314+($F$29-AD306)*AF313)*$J$29</f>
        <v>0</v>
      </c>
      <c r="I327" s="27">
        <f t="shared" si="24"/>
        <v>0</v>
      </c>
      <c r="J327" s="27">
        <f t="shared" si="25"/>
        <v>0</v>
      </c>
      <c r="K327" s="27">
        <f t="shared" si="26"/>
        <v>0</v>
      </c>
      <c r="M327" s="33"/>
      <c r="N327" s="33"/>
      <c r="O327" s="33"/>
      <c r="P327" s="33"/>
      <c r="Q327" s="33"/>
      <c r="R327" s="33"/>
      <c r="S327" s="33"/>
      <c r="U327" s="33"/>
      <c r="V327" s="33"/>
      <c r="W327" s="33"/>
      <c r="X327" s="33"/>
      <c r="Y327" s="33"/>
      <c r="Z327" s="33"/>
      <c r="AA327" s="33"/>
      <c r="AB327" s="33"/>
      <c r="AC327" s="33"/>
      <c r="AD327" s="33"/>
      <c r="AK327" s="31"/>
      <c r="AL327" s="31"/>
    </row>
    <row r="328" spans="3:47">
      <c r="C328" s="30"/>
      <c r="D328" s="29">
        <v>27</v>
      </c>
      <c r="E328" s="28">
        <f>(AF309-($F$30-AD307)*AF315+($G$30-AF306)*AF314)*$H$30</f>
        <v>0</v>
      </c>
      <c r="F328" s="28">
        <f>(AF310+($E$30-AB307)*AF315-($G$30-AF307)*AF313)*$I$30</f>
        <v>0</v>
      </c>
      <c r="G328" s="28">
        <f>(AF311-($E$30-AB306)*AF314+($F$30-AD306)*AF313)*$J$30</f>
        <v>0</v>
      </c>
      <c r="I328" s="27">
        <f t="shared" si="24"/>
        <v>0</v>
      </c>
      <c r="J328" s="27">
        <f t="shared" si="25"/>
        <v>0</v>
      </c>
      <c r="K328" s="27">
        <f t="shared" si="26"/>
        <v>0</v>
      </c>
      <c r="M328" s="31"/>
      <c r="N328" s="32"/>
      <c r="O328" s="32"/>
      <c r="P328" s="32"/>
      <c r="Q328" s="31"/>
      <c r="R328" s="31"/>
      <c r="S328" s="31"/>
      <c r="T328" s="31"/>
      <c r="U328" s="31"/>
      <c r="V328" s="31"/>
      <c r="W328" s="31"/>
      <c r="X328" s="31"/>
      <c r="Y328" s="31"/>
      <c r="Z328" s="31"/>
      <c r="AA328" s="31"/>
      <c r="AB328" s="31"/>
      <c r="AC328" s="31"/>
      <c r="AD328" s="31"/>
      <c r="AE328" s="31"/>
    </row>
    <row r="329" spans="3:47">
      <c r="C329" s="30"/>
      <c r="D329" s="29">
        <v>28</v>
      </c>
      <c r="E329" s="28">
        <f>(AF309-($F$31-AD307)*AF315+($G$31-AF306)*AF314)*$H$31</f>
        <v>0</v>
      </c>
      <c r="F329" s="28">
        <f>(AF310+($E$31-AB307)*AF315-($G$31-AF307)*AF313)*$I$31</f>
        <v>0</v>
      </c>
      <c r="G329" s="28">
        <f>(AF311-($E$31-AB306)*AF314+($F$31-AD306)*AF313)*$J$31</f>
        <v>0</v>
      </c>
      <c r="I329" s="27">
        <f t="shared" si="24"/>
        <v>0</v>
      </c>
      <c r="J329" s="27">
        <f t="shared" si="25"/>
        <v>0</v>
      </c>
      <c r="K329" s="27">
        <f t="shared" si="26"/>
        <v>0</v>
      </c>
    </row>
    <row r="330" spans="3:47">
      <c r="C330" s="30"/>
      <c r="D330" s="29">
        <v>29</v>
      </c>
      <c r="E330" s="28">
        <f>(AF309-($F$32-AD307)*AF315+($G$32-AF306)*AF314)*$H$32</f>
        <v>0</v>
      </c>
      <c r="F330" s="28">
        <f>(AF310+($E$32-AB307)*AF315-($G$32-AF307)*AF313)*$I$32</f>
        <v>0</v>
      </c>
      <c r="G330" s="28">
        <f>(AF311-($E$32-AB306)*AF314+($F$32-AD306)*AF313)*$J$32</f>
        <v>0</v>
      </c>
      <c r="I330" s="27">
        <f t="shared" si="24"/>
        <v>0</v>
      </c>
      <c r="J330" s="27">
        <f t="shared" si="25"/>
        <v>0</v>
      </c>
      <c r="K330" s="27">
        <f t="shared" si="26"/>
        <v>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READ ME</vt:lpstr>
      <vt:lpstr>PURPOSE</vt:lpstr>
      <vt:lpstr>3D Bolt Calc</vt:lpstr>
      <vt:lpstr>PURPOSE!Print_Area</vt:lpstr>
      <vt:lpstr>'READ 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Microsoft Corporation</dc:creator>
  <cp:keywords>Stress; Structures; Analysis</cp:keywords>
  <dc:description>N/A</dc:description>
  <cp:lastModifiedBy>Richard Abbott</cp:lastModifiedBy>
  <cp:lastPrinted>2013-06-12T17:10:54Z</cp:lastPrinted>
  <dcterms:created xsi:type="dcterms:W3CDTF">1996-10-14T23:33:28Z</dcterms:created>
  <dcterms:modified xsi:type="dcterms:W3CDTF">2016-03-11T03:48:26Z</dcterms:modified>
  <cp:category>Engineering Spreadsheets</cp:category>
</cp:coreProperties>
</file>